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 activeTab="2"/>
  </bookViews>
  <sheets>
    <sheet name="ผลการดำเนินงานรายรับ เม.ย-มิ.ย" sheetId="4" r:id="rId1"/>
    <sheet name="ดำเนินงานเงินสะสม รายรับเม.ย-มิ" sheetId="5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4" i="5"/>
  <c r="F23"/>
  <c r="F22"/>
  <c r="F21"/>
  <c r="F20"/>
  <c r="F19"/>
  <c r="D20"/>
  <c r="D21"/>
  <c r="D22"/>
  <c r="D23"/>
  <c r="D24"/>
  <c r="D19"/>
  <c r="P11"/>
  <c r="P8"/>
  <c r="O14"/>
  <c r="O11"/>
  <c r="O10"/>
  <c r="N14"/>
  <c r="N10"/>
  <c r="N8"/>
  <c r="M16"/>
  <c r="M10"/>
  <c r="L16"/>
  <c r="L13"/>
  <c r="L12"/>
  <c r="L11"/>
  <c r="L10"/>
  <c r="L9"/>
  <c r="L8"/>
  <c r="K8"/>
  <c r="J10"/>
  <c r="J8"/>
  <c r="I16"/>
  <c r="I12"/>
  <c r="I11"/>
  <c r="I10"/>
  <c r="I9"/>
  <c r="I8"/>
  <c r="H11"/>
  <c r="H10"/>
  <c r="H9"/>
  <c r="H8"/>
  <c r="G13"/>
  <c r="G12"/>
  <c r="G11"/>
  <c r="G10"/>
  <c r="G9"/>
  <c r="G8"/>
  <c r="G7"/>
  <c r="Q6"/>
  <c r="E10"/>
  <c r="E17"/>
  <c r="E14"/>
  <c r="D15"/>
  <c r="F10"/>
  <c r="D10" s="1"/>
  <c r="E24" i="4" l="1"/>
  <c r="E23"/>
  <c r="E22"/>
  <c r="E21"/>
  <c r="E20"/>
  <c r="E19"/>
  <c r="D20"/>
  <c r="D21"/>
  <c r="D22"/>
  <c r="D23"/>
  <c r="D24"/>
  <c r="D19"/>
  <c r="O11"/>
  <c r="O8"/>
  <c r="N11"/>
  <c r="M10"/>
  <c r="M8"/>
  <c r="L10"/>
  <c r="K16"/>
  <c r="K13"/>
  <c r="K12"/>
  <c r="K11"/>
  <c r="K10"/>
  <c r="K9"/>
  <c r="K8"/>
  <c r="J8"/>
  <c r="I10"/>
  <c r="I8"/>
  <c r="H16"/>
  <c r="H12"/>
  <c r="H11"/>
  <c r="H10"/>
  <c r="H9"/>
  <c r="H8"/>
  <c r="G11"/>
  <c r="G10"/>
  <c r="G9"/>
  <c r="G8"/>
  <c r="F11"/>
  <c r="F13"/>
  <c r="F12"/>
  <c r="F10"/>
  <c r="F9"/>
  <c r="F8"/>
  <c r="F7"/>
  <c r="P6"/>
  <c r="E6"/>
  <c r="D6" s="1"/>
  <c r="F25" i="5"/>
  <c r="F26" s="1"/>
  <c r="D25"/>
  <c r="C25"/>
  <c r="Q17"/>
  <c r="P17"/>
  <c r="O17"/>
  <c r="N17"/>
  <c r="M17"/>
  <c r="L17"/>
  <c r="K17"/>
  <c r="J17"/>
  <c r="I17"/>
  <c r="H17"/>
  <c r="G17"/>
  <c r="C17"/>
  <c r="F16"/>
  <c r="D16" s="1"/>
  <c r="F15"/>
  <c r="F14"/>
  <c r="D14" s="1"/>
  <c r="F13"/>
  <c r="D13" s="1"/>
  <c r="F12"/>
  <c r="D12" s="1"/>
  <c r="F11"/>
  <c r="D11" s="1"/>
  <c r="F9"/>
  <c r="D9" s="1"/>
  <c r="F8"/>
  <c r="D8" s="1"/>
  <c r="F7"/>
  <c r="D7" s="1"/>
  <c r="F6"/>
  <c r="E25" i="4"/>
  <c r="C25"/>
  <c r="P17"/>
  <c r="O17"/>
  <c r="N17"/>
  <c r="M17"/>
  <c r="L17"/>
  <c r="K17"/>
  <c r="J17"/>
  <c r="I17"/>
  <c r="H17"/>
  <c r="G17"/>
  <c r="F17"/>
  <c r="C17"/>
  <c r="E16"/>
  <c r="D16" s="1"/>
  <c r="E15"/>
  <c r="D15"/>
  <c r="E14"/>
  <c r="D14"/>
  <c r="E13"/>
  <c r="D13" s="1"/>
  <c r="E12"/>
  <c r="D12" s="1"/>
  <c r="E11"/>
  <c r="D11" s="1"/>
  <c r="E10"/>
  <c r="D10" s="1"/>
  <c r="E9"/>
  <c r="D9" s="1"/>
  <c r="E8"/>
  <c r="D8" s="1"/>
  <c r="E7"/>
  <c r="D7" s="1"/>
  <c r="F17" i="5" l="1"/>
  <c r="D6"/>
  <c r="D17" s="1"/>
  <c r="D25" i="4"/>
  <c r="E17"/>
  <c r="E26"/>
  <c r="D17"/>
</calcChain>
</file>

<file path=xl/sharedStrings.xml><?xml version="1.0" encoding="utf-8"?>
<sst xmlns="http://schemas.openxmlformats.org/spreadsheetml/2006/main" count="143" uniqueCount="57">
  <si>
    <t>เทศบาลตำบลกุดชมภู</t>
  </si>
  <si>
    <t>งบแสดงผลการดำเนินงานจ่ายจากเงินรายรับ</t>
  </si>
  <si>
    <t>รายการ/หมวด</t>
  </si>
  <si>
    <t>ประมาณการ</t>
  </si>
  <si>
    <t>รวมจ่ายจาก
เงินงบประมาณ</t>
  </si>
  <si>
    <t>รวม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</si>
  <si>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</si>
  <si>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</si>
  <si>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</si>
  <si>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</si>
  <si>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</si>
  <si>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</si>
  <si>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</si>
  <si>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</si>
  <si>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</si>
  <si>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</si>
  <si>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</si>
  <si>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รายจ่าย</t>
  </si>
  <si>
    <t/>
  </si>
  <si>
    <t>รวมจ่าย</t>
  </si>
  <si>
    <t>รายรับ</t>
  </si>
  <si>
    <t>รวมรับ</t>
  </si>
  <si>
    <t>รายรับสูงกว่าหรือต่ำกว่ารายจ่าย</t>
  </si>
  <si>
    <t>งบแสดงผลการดำเนินงานจ่ายจากเงินรายรับและเงินสะสม</t>
  </si>
  <si>
    <t>รวมจ่ายจาก
เงินสะสม</t>
  </si>
  <si>
    <t>แผนงานบริหารงานทั่วไป
00110</t>
  </si>
  <si>
    <t>แผนงานการรักษาความสงบภายใน
00120</t>
  </si>
  <si>
    <t>แผนงานการศึกษา
00210</t>
  </si>
  <si>
    <t>แผนงานสาธารณสุข
00220</t>
  </si>
  <si>
    <t>แผนงานสังคมสงเคราะห์
00230</t>
  </si>
  <si>
    <t>แผนงานเคหะและชุมชน
00240</t>
  </si>
  <si>
    <t>แผนงานสร้างความเข้มแข็งของชุมชน
00250</t>
  </si>
  <si>
    <t>แผนงานการศาสนาวัฒนธรรมและนันทนาการ
00260</t>
  </si>
  <si>
    <t>แผนงานอุตสาหกรรมและการโยธา
00310</t>
  </si>
  <si>
    <t>แผนงานการเกษตร
00320</t>
  </si>
  <si>
    <t>แผนงานงบกลาง
00410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</si>
  <si>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</si>
  <si>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</si>
  <si>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</si>
  <si>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</si>
  <si>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</si>
  <si>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</si>
  <si>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</si>
  <si>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</si>
  <si>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</si>
  <si>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</si>
  <si>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</si>
  <si>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</si>
  <si>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</si>
  <si>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</si>
  <si>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</si>
  <si>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ภาษีจัดสรร</t>
  </si>
  <si>
    <t>เงินอุดหนุนทั่วไป</t>
  </si>
  <si>
    <t>ตั้งแต่วันที่ 1  เมษายน  2561  ถึงวันที่ 30 มิถุนายน 2561</t>
  </si>
  <si>
    <t>ตั้งแต่วันที่ 1  เมษายน  2561 ถึงวันที่ 30 มิถุนายน 2561</t>
  </si>
  <si>
    <t>-เพื่อโปรดทราบ</t>
  </si>
  <si>
    <t>-ทราบ</t>
  </si>
</sst>
</file>

<file path=xl/styles.xml><?xml version="1.0" encoding="utf-8"?>
<styleSheet xmlns="http://schemas.openxmlformats.org/spreadsheetml/2006/main">
  <numFmts count="1">
    <numFmt numFmtId="187" formatCode="[$-1041E]#,##0.00;\(#,##0.00\);&quot;-&quot;"/>
  </numFmts>
  <fonts count="17">
    <font>
      <sz val="11"/>
      <color theme="1"/>
      <name val="Tahoma"/>
      <family val="2"/>
      <charset val="222"/>
      <scheme val="minor"/>
    </font>
    <font>
      <sz val="11"/>
      <color rgb="FF000000"/>
      <name val="Tahoma"/>
      <family val="2"/>
      <scheme val="minor"/>
    </font>
    <font>
      <b/>
      <sz val="15"/>
      <color rgb="FF000000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000000"/>
      <name val="TH SarabunPSK"/>
      <family val="2"/>
    </font>
    <font>
      <sz val="15"/>
      <color rgb="FFA9A9A9"/>
      <name val="TH SarabunPSK"/>
      <family val="2"/>
    </font>
    <font>
      <b/>
      <u/>
      <sz val="15"/>
      <color rgb="FF000000"/>
      <name val="TH SarabunPSK"/>
      <family val="2"/>
    </font>
    <font>
      <b/>
      <sz val="15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A9A9A9"/>
      <name val="TH SarabunPSK"/>
      <family val="2"/>
    </font>
    <font>
      <b/>
      <u/>
      <sz val="14"/>
      <color rgb="FF000000"/>
      <name val="TH SarabunPSK"/>
      <family val="2"/>
    </font>
    <font>
      <sz val="13"/>
      <color rgb="FF00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</fills>
  <borders count="1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  <diagonal/>
    </border>
    <border>
      <left/>
      <right style="thin">
        <color rgb="FFD3D3D3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/>
      <top style="thick">
        <color rgb="FFA9A9A9"/>
      </top>
      <bottom/>
      <diagonal/>
    </border>
    <border>
      <left/>
      <right/>
      <top style="thick">
        <color rgb="FFA9A9A9"/>
      </top>
      <bottom/>
      <diagonal/>
    </border>
    <border>
      <left style="thin">
        <color rgb="FFA9A9A9"/>
      </left>
      <right/>
      <top/>
      <bottom/>
      <diagonal/>
    </border>
    <border>
      <left/>
      <right style="thin">
        <color rgb="FFA9A9A9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1" applyFont="1" applyFill="1" applyBorder="1"/>
    <xf numFmtId="0" fontId="4" fillId="0" borderId="0" xfId="0" applyFont="1"/>
    <xf numFmtId="0" fontId="2" fillId="3" borderId="3" xfId="2" applyNumberFormat="1" applyFont="1" applyFill="1" applyBorder="1" applyAlignment="1">
      <alignment horizontal="center" vertical="center" wrapText="1" readingOrder="1"/>
    </xf>
    <xf numFmtId="0" fontId="7" fillId="0" borderId="5" xfId="2" applyNumberFormat="1" applyFont="1" applyFill="1" applyBorder="1" applyAlignment="1">
      <alignment horizontal="left" vertical="center" wrapText="1" readingOrder="1"/>
    </xf>
    <xf numFmtId="0" fontId="5" fillId="0" borderId="5" xfId="2" applyNumberFormat="1" applyFont="1" applyFill="1" applyBorder="1" applyAlignment="1">
      <alignment horizontal="right" vertical="center" wrapText="1" readingOrder="1"/>
    </xf>
    <xf numFmtId="0" fontId="5" fillId="0" borderId="6" xfId="2" applyNumberFormat="1" applyFont="1" applyFill="1" applyBorder="1" applyAlignment="1">
      <alignment horizontal="right" vertical="center" wrapText="1" readingOrder="1"/>
    </xf>
    <xf numFmtId="0" fontId="5" fillId="0" borderId="6" xfId="2" applyNumberFormat="1" applyFont="1" applyFill="1" applyBorder="1" applyAlignment="1">
      <alignment horizontal="left" vertical="center" wrapText="1" readingOrder="1"/>
    </xf>
    <xf numFmtId="187" fontId="5" fillId="0" borderId="8" xfId="2" applyNumberFormat="1" applyFont="1" applyFill="1" applyBorder="1" applyAlignment="1">
      <alignment horizontal="right" vertical="center" wrapText="1" readingOrder="1"/>
    </xf>
    <xf numFmtId="0" fontId="8" fillId="0" borderId="9" xfId="2" applyNumberFormat="1" applyFont="1" applyFill="1" applyBorder="1" applyAlignment="1">
      <alignment horizontal="right" vertical="center" wrapText="1" readingOrder="1"/>
    </xf>
    <xf numFmtId="187" fontId="8" fillId="0" borderId="9" xfId="2" applyNumberFormat="1" applyFont="1" applyFill="1" applyBorder="1" applyAlignment="1">
      <alignment horizontal="right" vertical="center" wrapText="1" readingOrder="1"/>
    </xf>
    <xf numFmtId="0" fontId="7" fillId="0" borderId="6" xfId="2" applyNumberFormat="1" applyFont="1" applyFill="1" applyBorder="1" applyAlignment="1">
      <alignment horizontal="left" vertical="center" wrapText="1" readingOrder="1"/>
    </xf>
    <xf numFmtId="0" fontId="5" fillId="0" borderId="8" xfId="2" applyNumberFormat="1" applyFont="1" applyFill="1" applyBorder="1" applyAlignment="1">
      <alignment horizontal="right" vertical="center" wrapText="1" readingOrder="1"/>
    </xf>
    <xf numFmtId="0" fontId="9" fillId="0" borderId="9" xfId="2" applyNumberFormat="1" applyFont="1" applyFill="1" applyBorder="1" applyAlignment="1">
      <alignment horizontal="right" vertical="center" wrapText="1" readingOrder="1"/>
    </xf>
    <xf numFmtId="0" fontId="5" fillId="0" borderId="11" xfId="2" applyNumberFormat="1" applyFont="1" applyFill="1" applyBorder="1" applyAlignment="1">
      <alignment horizontal="right" vertical="center" wrapText="1" readingOrder="1"/>
    </xf>
    <xf numFmtId="0" fontId="5" fillId="0" borderId="12" xfId="2" applyNumberFormat="1" applyFont="1" applyFill="1" applyBorder="1" applyAlignment="1">
      <alignment horizontal="right" vertical="center" wrapText="1" readingOrder="1"/>
    </xf>
    <xf numFmtId="187" fontId="5" fillId="0" borderId="13" xfId="2" applyNumberFormat="1" applyFont="1" applyFill="1" applyBorder="1" applyAlignment="1">
      <alignment horizontal="right" vertical="center" wrapText="1" readingOrder="1"/>
    </xf>
    <xf numFmtId="187" fontId="5" fillId="0" borderId="0" xfId="2" applyNumberFormat="1" applyFont="1" applyFill="1" applyBorder="1" applyAlignment="1">
      <alignment horizontal="right" vertical="center" wrapText="1" readingOrder="1"/>
    </xf>
    <xf numFmtId="187" fontId="8" fillId="0" borderId="13" xfId="2" applyNumberFormat="1" applyFont="1" applyFill="1" applyBorder="1" applyAlignment="1">
      <alignment horizontal="right" vertical="center" wrapText="1" readingOrder="1"/>
    </xf>
    <xf numFmtId="187" fontId="8" fillId="0" borderId="0" xfId="2" applyNumberFormat="1" applyFont="1" applyFill="1" applyBorder="1" applyAlignment="1">
      <alignment horizontal="right" vertical="center" wrapText="1" readingOrder="1"/>
    </xf>
    <xf numFmtId="0" fontId="9" fillId="0" borderId="13" xfId="2" applyNumberFormat="1" applyFont="1" applyFill="1" applyBorder="1" applyAlignment="1">
      <alignment horizontal="right" vertical="center" wrapText="1" readingOrder="1"/>
    </xf>
    <xf numFmtId="0" fontId="8" fillId="0" borderId="0" xfId="2" applyNumberFormat="1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center"/>
    </xf>
    <xf numFmtId="0" fontId="11" fillId="0" borderId="0" xfId="1" applyFont="1" applyFill="1" applyBorder="1"/>
    <xf numFmtId="0" fontId="12" fillId="0" borderId="0" xfId="0" applyFont="1"/>
    <xf numFmtId="0" fontId="13" fillId="3" borderId="3" xfId="2" applyNumberFormat="1" applyFont="1" applyFill="1" applyBorder="1" applyAlignment="1">
      <alignment horizontal="center" vertical="center" wrapText="1" readingOrder="1"/>
    </xf>
    <xf numFmtId="0" fontId="10" fillId="0" borderId="5" xfId="2" applyNumberFormat="1" applyFont="1" applyFill="1" applyBorder="1" applyAlignment="1">
      <alignment horizontal="right" vertical="center" wrapText="1" readingOrder="1"/>
    </xf>
    <xf numFmtId="0" fontId="10" fillId="0" borderId="6" xfId="2" applyNumberFormat="1" applyFont="1" applyFill="1" applyBorder="1" applyAlignment="1">
      <alignment horizontal="right" vertical="center" wrapText="1" readingOrder="1"/>
    </xf>
    <xf numFmtId="187" fontId="10" fillId="0" borderId="8" xfId="2" applyNumberFormat="1" applyFont="1" applyFill="1" applyBorder="1" applyAlignment="1">
      <alignment horizontal="right" vertical="center" wrapText="1" readingOrder="1"/>
    </xf>
    <xf numFmtId="187" fontId="9" fillId="0" borderId="9" xfId="2" applyNumberFormat="1" applyFont="1" applyFill="1" applyBorder="1" applyAlignment="1">
      <alignment horizontal="right" vertical="center" wrapText="1" readingOrder="1"/>
    </xf>
    <xf numFmtId="0" fontId="10" fillId="0" borderId="8" xfId="2" applyNumberFormat="1" applyFont="1" applyFill="1" applyBorder="1" applyAlignment="1">
      <alignment horizontal="right" vertical="center" wrapText="1" readingOrder="1"/>
    </xf>
    <xf numFmtId="0" fontId="15" fillId="0" borderId="5" xfId="2" applyNumberFormat="1" applyFont="1" applyFill="1" applyBorder="1" applyAlignment="1">
      <alignment horizontal="left" vertical="center" wrapText="1" readingOrder="1"/>
    </xf>
    <xf numFmtId="0" fontId="10" fillId="0" borderId="5" xfId="2" applyNumberFormat="1" applyFont="1" applyFill="1" applyBorder="1" applyAlignment="1">
      <alignment horizontal="left" vertical="center" wrapText="1" readingOrder="1"/>
    </xf>
    <xf numFmtId="0" fontId="10" fillId="0" borderId="11" xfId="2" applyNumberFormat="1" applyFont="1" applyFill="1" applyBorder="1" applyAlignment="1">
      <alignment horizontal="right" vertical="center" wrapText="1" readingOrder="1"/>
    </xf>
    <xf numFmtId="0" fontId="10" fillId="0" borderId="12" xfId="2" applyNumberFormat="1" applyFont="1" applyFill="1" applyBorder="1" applyAlignment="1">
      <alignment horizontal="right" vertical="center" wrapText="1" readingOrder="1"/>
    </xf>
    <xf numFmtId="187" fontId="10" fillId="0" borderId="13" xfId="2" applyNumberFormat="1" applyFont="1" applyFill="1" applyBorder="1" applyAlignment="1">
      <alignment horizontal="right" vertical="center" wrapText="1" readingOrder="1"/>
    </xf>
    <xf numFmtId="187" fontId="10" fillId="0" borderId="0" xfId="2" applyNumberFormat="1" applyFont="1" applyFill="1" applyBorder="1" applyAlignment="1">
      <alignment horizontal="right" vertical="center" wrapText="1" readingOrder="1"/>
    </xf>
    <xf numFmtId="187" fontId="9" fillId="0" borderId="13" xfId="2" applyNumberFormat="1" applyFont="1" applyFill="1" applyBorder="1" applyAlignment="1">
      <alignment horizontal="right" vertical="center" wrapText="1" readingOrder="1"/>
    </xf>
    <xf numFmtId="187" fontId="9" fillId="0" borderId="0" xfId="2" applyNumberFormat="1" applyFont="1" applyFill="1" applyBorder="1" applyAlignment="1">
      <alignment horizontal="right" vertical="center" wrapText="1" readingOrder="1"/>
    </xf>
    <xf numFmtId="49" fontId="16" fillId="0" borderId="0" xfId="2" applyNumberFormat="1" applyFont="1" applyFill="1" applyBorder="1" applyAlignment="1">
      <alignment horizontal="right" vertical="center" wrapText="1" readingOrder="1"/>
    </xf>
    <xf numFmtId="49" fontId="16" fillId="0" borderId="0" xfId="2" applyNumberFormat="1" applyFont="1" applyFill="1" applyBorder="1" applyAlignment="1">
      <alignment horizontal="left" vertical="center" wrapText="1" readingOrder="1"/>
    </xf>
    <xf numFmtId="0" fontId="5" fillId="0" borderId="0" xfId="0" applyFont="1" applyBorder="1" applyAlignment="1">
      <alignment horizontal="center"/>
    </xf>
    <xf numFmtId="0" fontId="9" fillId="0" borderId="0" xfId="2" applyNumberFormat="1" applyFont="1" applyFill="1" applyBorder="1" applyAlignment="1">
      <alignment horizontal="right" vertical="center" wrapText="1" readingOrder="1"/>
    </xf>
    <xf numFmtId="0" fontId="9" fillId="0" borderId="14" xfId="2" applyNumberFormat="1" applyFont="1" applyFill="1" applyBorder="1" applyAlignment="1">
      <alignment horizontal="right" vertical="center" wrapText="1" readingOrder="1"/>
    </xf>
    <xf numFmtId="0" fontId="2" fillId="0" borderId="3" xfId="2" applyNumberFormat="1" applyFont="1" applyFill="1" applyBorder="1" applyAlignment="1">
      <alignment horizontal="right" vertical="center" wrapText="1" readingOrder="1"/>
    </xf>
    <xf numFmtId="0" fontId="3" fillId="0" borderId="2" xfId="2" applyNumberFormat="1" applyFont="1" applyFill="1" applyBorder="1" applyAlignment="1">
      <alignment vertical="top" wrapText="1"/>
    </xf>
    <xf numFmtId="0" fontId="2" fillId="2" borderId="0" xfId="2" applyNumberFormat="1" applyFont="1" applyFill="1" applyBorder="1" applyAlignment="1">
      <alignment horizontal="center" vertical="center" wrapText="1" readingOrder="1"/>
    </xf>
    <xf numFmtId="0" fontId="5" fillId="2" borderId="0" xfId="2" applyNumberFormat="1" applyFont="1" applyFill="1" applyBorder="1" applyAlignment="1">
      <alignment horizontal="center" vertical="center" wrapText="1" readingOrder="1"/>
    </xf>
    <xf numFmtId="0" fontId="2" fillId="3" borderId="1" xfId="2" applyNumberFormat="1" applyFont="1" applyFill="1" applyBorder="1" applyAlignment="1">
      <alignment horizontal="center" vertical="center" wrapText="1" readingOrder="1"/>
    </xf>
    <xf numFmtId="0" fontId="3" fillId="3" borderId="2" xfId="2" applyNumberFormat="1" applyFont="1" applyFill="1" applyBorder="1" applyAlignment="1">
      <alignment vertical="top" wrapText="1"/>
    </xf>
    <xf numFmtId="0" fontId="6" fillId="4" borderId="3" xfId="2" applyNumberFormat="1" applyFont="1" applyFill="1" applyBorder="1" applyAlignment="1">
      <alignment vertical="center" wrapText="1" readingOrder="1"/>
    </xf>
    <xf numFmtId="0" fontId="3" fillId="4" borderId="7" xfId="2" applyNumberFormat="1" applyFont="1" applyFill="1" applyBorder="1" applyAlignment="1">
      <alignment vertical="top" wrapText="1"/>
    </xf>
    <xf numFmtId="0" fontId="3" fillId="4" borderId="8" xfId="2" applyNumberFormat="1" applyFont="1" applyFill="1" applyBorder="1" applyAlignment="1">
      <alignment vertical="top" wrapText="1"/>
    </xf>
    <xf numFmtId="0" fontId="13" fillId="0" borderId="3" xfId="2" applyNumberFormat="1" applyFont="1" applyFill="1" applyBorder="1" applyAlignment="1">
      <alignment horizontal="right" vertical="center" wrapText="1" readingOrder="1"/>
    </xf>
    <xf numFmtId="0" fontId="11" fillId="0" borderId="4" xfId="2" applyNumberFormat="1" applyFont="1" applyFill="1" applyBorder="1" applyAlignment="1">
      <alignment vertical="top" wrapText="1"/>
    </xf>
    <xf numFmtId="0" fontId="13" fillId="2" borderId="0" xfId="2" applyNumberFormat="1" applyFont="1" applyFill="1" applyBorder="1" applyAlignment="1">
      <alignment horizontal="center" vertical="top" wrapText="1" readingOrder="1"/>
    </xf>
    <xf numFmtId="0" fontId="10" fillId="2" borderId="0" xfId="2" applyNumberFormat="1" applyFont="1" applyFill="1" applyBorder="1" applyAlignment="1">
      <alignment horizontal="center" vertical="top" wrapText="1" readingOrder="1"/>
    </xf>
    <xf numFmtId="0" fontId="10" fillId="2" borderId="5" xfId="2" applyNumberFormat="1" applyFont="1" applyFill="1" applyBorder="1" applyAlignment="1">
      <alignment horizontal="center" vertical="top" wrapText="1" readingOrder="1"/>
    </xf>
    <xf numFmtId="0" fontId="13" fillId="3" borderId="1" xfId="2" applyNumberFormat="1" applyFont="1" applyFill="1" applyBorder="1" applyAlignment="1">
      <alignment horizontal="center" vertical="center" wrapText="1" readingOrder="1"/>
    </xf>
    <xf numFmtId="0" fontId="11" fillId="3" borderId="10" xfId="2" applyNumberFormat="1" applyFont="1" applyFill="1" applyBorder="1" applyAlignment="1">
      <alignment vertical="top" wrapText="1"/>
    </xf>
    <xf numFmtId="0" fontId="14" fillId="4" borderId="3" xfId="2" applyNumberFormat="1" applyFont="1" applyFill="1" applyBorder="1" applyAlignment="1">
      <alignment vertical="center" wrapText="1" readingOrder="1"/>
    </xf>
    <xf numFmtId="0" fontId="11" fillId="4" borderId="7" xfId="2" applyNumberFormat="1" applyFont="1" applyFill="1" applyBorder="1" applyAlignment="1">
      <alignment vertical="top" wrapText="1"/>
    </xf>
    <xf numFmtId="0" fontId="11" fillId="4" borderId="8" xfId="2" applyNumberFormat="1" applyFont="1" applyFill="1" applyBorder="1" applyAlignment="1">
      <alignment vertical="top" wrapText="1"/>
    </xf>
  </cellXfs>
  <cellStyles count="3">
    <cellStyle name="Normal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962025</xdr:colOff>
      <xdr:row>19</xdr:row>
      <xdr:rowOff>38100</xdr:rowOff>
    </xdr:from>
    <xdr:ext cx="2308649" cy="1047750"/>
    <xdr:sp macro="" textlink="">
      <xdr:nvSpPr>
        <xdr:cNvPr id="2" name="TextBox 1"/>
        <xdr:cNvSpPr txBox="1"/>
      </xdr:nvSpPr>
      <xdr:spPr>
        <a:xfrm>
          <a:off x="4781550" y="6686550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พรหมดี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.......... 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9</xdr:col>
      <xdr:colOff>200025</xdr:colOff>
      <xdr:row>18</xdr:row>
      <xdr:rowOff>228600</xdr:rowOff>
    </xdr:from>
    <xdr:ext cx="2247897" cy="1019176"/>
    <xdr:sp macro="" textlink="">
      <xdr:nvSpPr>
        <xdr:cNvPr id="3" name="TextBox 2"/>
        <xdr:cNvSpPr txBox="1"/>
      </xdr:nvSpPr>
      <xdr:spPr>
        <a:xfrm>
          <a:off x="7781925" y="6553200"/>
          <a:ext cx="2247897" cy="101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ลงชื่อ.....อภิชาติ   เศรษฐมาตย์.....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12</xdr:col>
      <xdr:colOff>742950</xdr:colOff>
      <xdr:row>19</xdr:row>
      <xdr:rowOff>85725</xdr:rowOff>
    </xdr:from>
    <xdr:ext cx="2085972" cy="1038226"/>
    <xdr:sp macro="" textlink="">
      <xdr:nvSpPr>
        <xdr:cNvPr id="4" name="TextBox 3"/>
        <xdr:cNvSpPr txBox="1"/>
      </xdr:nvSpPr>
      <xdr:spPr>
        <a:xfrm>
          <a:off x="11649075" y="6734175"/>
          <a:ext cx="208597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เศรษฐมาตย์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533400</xdr:colOff>
      <xdr:row>19</xdr:row>
      <xdr:rowOff>47625</xdr:rowOff>
    </xdr:from>
    <xdr:ext cx="2308649" cy="1047750"/>
    <xdr:sp macro="" textlink="">
      <xdr:nvSpPr>
        <xdr:cNvPr id="2" name="TextBox 1"/>
        <xdr:cNvSpPr txBox="1"/>
      </xdr:nvSpPr>
      <xdr:spPr>
        <a:xfrm>
          <a:off x="5848350" y="6962775"/>
          <a:ext cx="2308649" cy="1047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ลงชื่อ........ไพริน  พรหมดี..........          (นางไพริน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พรหมดี)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ผู้อำนวยการกองคลัง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10</xdr:col>
      <xdr:colOff>238125</xdr:colOff>
      <xdr:row>18</xdr:row>
      <xdr:rowOff>219075</xdr:rowOff>
    </xdr:from>
    <xdr:ext cx="2247897" cy="1019176"/>
    <xdr:sp macro="" textlink="">
      <xdr:nvSpPr>
        <xdr:cNvPr id="3" name="TextBox 2"/>
        <xdr:cNvSpPr txBox="1"/>
      </xdr:nvSpPr>
      <xdr:spPr>
        <a:xfrm>
          <a:off x="8429625" y="6810375"/>
          <a:ext cx="2247897" cy="10191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endParaRPr lang="th-TH" sz="150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ลงชื่อ....อภิชาติ  เศรษฐมาตย์........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</a:t>
          </a: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oneCellAnchor>
    <xdr:from>
      <xdr:col>13</xdr:col>
      <xdr:colOff>695325</xdr:colOff>
      <xdr:row>19</xdr:row>
      <xdr:rowOff>114300</xdr:rowOff>
    </xdr:from>
    <xdr:ext cx="2085972" cy="1038226"/>
    <xdr:sp macro="" textlink="">
      <xdr:nvSpPr>
        <xdr:cNvPr id="4" name="TextBox 3"/>
        <xdr:cNvSpPr txBox="1"/>
      </xdr:nvSpPr>
      <xdr:spPr>
        <a:xfrm>
          <a:off x="11087100" y="7029450"/>
          <a:ext cx="2085972" cy="1038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>
          <a:noAutofit/>
        </a:bodyPr>
        <a:lstStyle/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ลงชื่อ.....อภิชาติ  เศรษฐมาตย์........       (นายอภิชาติ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เศรษฐมาตย์)</a:t>
          </a:r>
          <a:r>
            <a:rPr lang="th-TH" sz="1500">
              <a:latin typeface="TH SarabunPSK" pitchFamily="34" charset="-34"/>
              <a:cs typeface="TH SarabunPSK" pitchFamily="34" charset="-34"/>
            </a:rPr>
            <a:t>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  ปลัดเทศบาล  ปฏิบัติหน้าที่</a:t>
          </a:r>
        </a:p>
        <a:p>
          <a:pPr algn="ctr"/>
          <a:r>
            <a:rPr lang="th-TH" sz="1500" baseline="0">
              <a:latin typeface="TH SarabunPSK" pitchFamily="34" charset="-34"/>
              <a:cs typeface="TH SarabunPSK" pitchFamily="34" charset="-34"/>
            </a:rPr>
            <a:t>นายกเทศมนตรีตำบลกุดมภู</a:t>
          </a:r>
        </a:p>
        <a:p>
          <a:pPr algn="ctr"/>
          <a:endParaRPr lang="th-TH" sz="1500" baseline="0">
            <a:latin typeface="TH SarabunPSK" pitchFamily="34" charset="-34"/>
            <a:cs typeface="TH SarabunPSK" pitchFamily="34" charset="-34"/>
          </a:endParaRPr>
        </a:p>
        <a:p>
          <a:pPr algn="ctr"/>
          <a:r>
            <a:rPr lang="th-TH" sz="1500">
              <a:latin typeface="TH SarabunPSK" pitchFamily="34" charset="-34"/>
              <a:cs typeface="TH SarabunPSK" pitchFamily="34" charset="-34"/>
            </a:rPr>
            <a:t>                  </a:t>
          </a:r>
          <a:r>
            <a:rPr lang="th-TH" sz="1500" baseline="0">
              <a:latin typeface="TH SarabunPSK" pitchFamily="34" charset="-34"/>
              <a:cs typeface="TH SarabunPSK" pitchFamily="34" charset="-34"/>
            </a:rPr>
            <a:t>           </a:t>
          </a:r>
          <a:endParaRPr lang="th-TH" sz="1500">
            <a:latin typeface="TH SarabunPSK" pitchFamily="34" charset="-34"/>
            <a:cs typeface="TH SarabunPSK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opLeftCell="D13" workbookViewId="0">
      <selection activeCell="M23" sqref="M23"/>
    </sheetView>
  </sheetViews>
  <sheetFormatPr defaultRowHeight="19.5"/>
  <cols>
    <col min="1" max="1" width="0.5" style="2" hidden="1" customWidth="1"/>
    <col min="2" max="2" width="19.875" style="2" customWidth="1"/>
    <col min="3" max="3" width="12.75" style="2" customWidth="1"/>
    <col min="4" max="4" width="13.625" style="2" customWidth="1"/>
    <col min="5" max="5" width="12.875" style="2" customWidth="1"/>
    <col min="6" max="6" width="14" style="2" customWidth="1"/>
    <col min="7" max="7" width="10.875" style="2" customWidth="1"/>
    <col min="8" max="8" width="13.5" style="2" customWidth="1"/>
    <col min="9" max="9" width="11" style="2" customWidth="1"/>
    <col min="10" max="10" width="12.125" style="2" customWidth="1"/>
    <col min="11" max="11" width="11.875" style="2" customWidth="1"/>
    <col min="12" max="12" width="10.625" style="2" customWidth="1"/>
    <col min="13" max="13" width="12.25" style="2" customWidth="1"/>
    <col min="14" max="14" width="11.375" style="2" customWidth="1"/>
    <col min="15" max="15" width="10.625" style="2" customWidth="1"/>
    <col min="16" max="16" width="13.125" style="2" customWidth="1"/>
    <col min="17" max="16384" width="9" style="2"/>
  </cols>
  <sheetData>
    <row r="1" spans="1:16" ht="21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21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21" customHeight="1">
      <c r="A3" s="47" t="s">
        <v>53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78">
      <c r="A4" s="48" t="s">
        <v>2</v>
      </c>
      <c r="B4" s="49"/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</row>
    <row r="5" spans="1:16" ht="25.5" customHeight="1">
      <c r="A5" s="50" t="s">
        <v>17</v>
      </c>
      <c r="B5" s="4" t="s">
        <v>17</v>
      </c>
      <c r="C5" s="5" t="s">
        <v>18</v>
      </c>
      <c r="D5" s="5" t="s">
        <v>18</v>
      </c>
      <c r="E5" s="5" t="s">
        <v>18</v>
      </c>
      <c r="F5" s="5" t="s">
        <v>18</v>
      </c>
      <c r="G5" s="5" t="s">
        <v>18</v>
      </c>
      <c r="H5" s="5" t="s">
        <v>18</v>
      </c>
      <c r="I5" s="5" t="s">
        <v>18</v>
      </c>
      <c r="J5" s="5" t="s">
        <v>18</v>
      </c>
      <c r="K5" s="5" t="s">
        <v>18</v>
      </c>
      <c r="L5" s="5" t="s">
        <v>18</v>
      </c>
      <c r="M5" s="5" t="s">
        <v>18</v>
      </c>
      <c r="N5" s="5" t="s">
        <v>18</v>
      </c>
      <c r="O5" s="5" t="s">
        <v>18</v>
      </c>
      <c r="P5" s="6" t="s">
        <v>18</v>
      </c>
    </row>
    <row r="6" spans="1:16" ht="25.5" customHeight="1">
      <c r="A6" s="51"/>
      <c r="B6" s="7" t="s">
        <v>36</v>
      </c>
      <c r="C6" s="8">
        <v>17507096</v>
      </c>
      <c r="D6" s="8">
        <f>+E6</f>
        <v>3374288</v>
      </c>
      <c r="E6" s="8">
        <f>SUM(F6:P6)</f>
        <v>3374288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f>12231568-8857280</f>
        <v>3374288</v>
      </c>
    </row>
    <row r="7" spans="1:16" ht="25.5" customHeight="1">
      <c r="A7" s="51"/>
      <c r="B7" s="7" t="s">
        <v>37</v>
      </c>
      <c r="C7" s="8">
        <v>1135400</v>
      </c>
      <c r="D7" s="8">
        <f t="shared" ref="D7:D16" si="0">+E7</f>
        <v>267840</v>
      </c>
      <c r="E7" s="8">
        <f t="shared" ref="E7:E16" si="1">SUM(F7:P7)</f>
        <v>267840</v>
      </c>
      <c r="F7" s="8">
        <f>803520-535680</f>
        <v>267840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5.5" customHeight="1">
      <c r="A8" s="51"/>
      <c r="B8" s="7" t="s">
        <v>38</v>
      </c>
      <c r="C8" s="8">
        <v>16688190</v>
      </c>
      <c r="D8" s="8">
        <f t="shared" si="0"/>
        <v>4143875</v>
      </c>
      <c r="E8" s="8">
        <f t="shared" si="1"/>
        <v>4143875</v>
      </c>
      <c r="F8" s="8">
        <f>5598430-3708670</f>
        <v>1889760</v>
      </c>
      <c r="G8" s="8">
        <f>489145-312573</f>
        <v>176572</v>
      </c>
      <c r="H8" s="8">
        <f>3286232-2146423</f>
        <v>1139809</v>
      </c>
      <c r="I8" s="8">
        <f>696780-464520</f>
        <v>232260</v>
      </c>
      <c r="J8" s="8">
        <f>525720-348960</f>
        <v>176760</v>
      </c>
      <c r="K8" s="8">
        <f>1316709-872650</f>
        <v>444059</v>
      </c>
      <c r="L8" s="8">
        <v>0</v>
      </c>
      <c r="M8" s="8">
        <f>135000-90000</f>
        <v>45000</v>
      </c>
      <c r="N8" s="8">
        <v>0</v>
      </c>
      <c r="O8" s="8">
        <f>119565-79910</f>
        <v>39655</v>
      </c>
      <c r="P8" s="8">
        <v>0</v>
      </c>
    </row>
    <row r="9" spans="1:16" ht="25.5" customHeight="1">
      <c r="A9" s="51"/>
      <c r="B9" s="7" t="s">
        <v>39</v>
      </c>
      <c r="C9" s="8">
        <v>1368718</v>
      </c>
      <c r="D9" s="8">
        <f t="shared" si="0"/>
        <v>62312.5</v>
      </c>
      <c r="E9" s="8">
        <f t="shared" si="1"/>
        <v>62312.5</v>
      </c>
      <c r="F9" s="8">
        <f>65125-40012.5</f>
        <v>25112.5</v>
      </c>
      <c r="G9" s="8">
        <f>35400-18600</f>
        <v>16800</v>
      </c>
      <c r="H9" s="8">
        <f>28200-14550</f>
        <v>13650</v>
      </c>
      <c r="I9" s="8">
        <v>0</v>
      </c>
      <c r="J9" s="8">
        <v>0</v>
      </c>
      <c r="K9" s="8">
        <f>9750-3000</f>
        <v>6750</v>
      </c>
      <c r="L9" s="8">
        <v>0</v>
      </c>
      <c r="M9" s="8">
        <v>0</v>
      </c>
      <c r="N9" s="8">
        <v>0</v>
      </c>
      <c r="O9" s="8">
        <v>0</v>
      </c>
      <c r="P9" s="8">
        <v>0</v>
      </c>
    </row>
    <row r="10" spans="1:16" ht="25.5" customHeight="1">
      <c r="A10" s="51"/>
      <c r="B10" s="7" t="s">
        <v>40</v>
      </c>
      <c r="C10" s="8">
        <v>10570200</v>
      </c>
      <c r="D10" s="8">
        <f t="shared" si="0"/>
        <v>1832858.9000000001</v>
      </c>
      <c r="E10" s="8">
        <f t="shared" si="1"/>
        <v>1832858.9000000001</v>
      </c>
      <c r="F10" s="8">
        <f>1101797.93-754657.27</f>
        <v>347140.65999999992</v>
      </c>
      <c r="G10" s="8">
        <f>11700-9900</f>
        <v>1800</v>
      </c>
      <c r="H10" s="8">
        <f>1267720-914870</f>
        <v>352850</v>
      </c>
      <c r="I10" s="8">
        <f>161240-161240</f>
        <v>0</v>
      </c>
      <c r="J10" s="8">
        <v>0</v>
      </c>
      <c r="K10" s="8">
        <f>3093554.24-2294906</f>
        <v>798648.24000000022</v>
      </c>
      <c r="L10" s="8">
        <f>29770-29770</f>
        <v>0</v>
      </c>
      <c r="M10" s="8">
        <f>968230-635810</f>
        <v>332420</v>
      </c>
      <c r="N10" s="8">
        <v>0</v>
      </c>
      <c r="O10" s="8">
        <v>0</v>
      </c>
      <c r="P10" s="8">
        <v>0</v>
      </c>
    </row>
    <row r="11" spans="1:16" ht="25.5" customHeight="1">
      <c r="A11" s="51"/>
      <c r="B11" s="7" t="s">
        <v>41</v>
      </c>
      <c r="C11" s="8">
        <v>5626094.7999999998</v>
      </c>
      <c r="D11" s="8">
        <f t="shared" si="0"/>
        <v>1090374.7</v>
      </c>
      <c r="E11" s="8">
        <f t="shared" si="1"/>
        <v>1090374.7</v>
      </c>
      <c r="F11" s="8">
        <f>807996.4-359431.15</f>
        <v>448565.25</v>
      </c>
      <c r="G11" s="8">
        <f>130256-112785</f>
        <v>17471</v>
      </c>
      <c r="H11" s="8">
        <f>1533437.6-1183577.6</f>
        <v>349860</v>
      </c>
      <c r="I11" s="8">
        <v>0</v>
      </c>
      <c r="J11" s="8">
        <v>0</v>
      </c>
      <c r="K11" s="8">
        <f>589128.4-314649.95</f>
        <v>274478.45</v>
      </c>
      <c r="L11" s="8">
        <v>0</v>
      </c>
      <c r="M11" s="8">
        <v>0</v>
      </c>
      <c r="N11" s="8">
        <f>332869-332869</f>
        <v>0</v>
      </c>
      <c r="O11" s="8">
        <f>10000-10000</f>
        <v>0</v>
      </c>
      <c r="P11" s="8">
        <v>0</v>
      </c>
    </row>
    <row r="12" spans="1:16" ht="25.5" customHeight="1">
      <c r="A12" s="51"/>
      <c r="B12" s="7" t="s">
        <v>42</v>
      </c>
      <c r="C12" s="8">
        <v>955701.2</v>
      </c>
      <c r="D12" s="8">
        <f t="shared" si="0"/>
        <v>149185.09999999998</v>
      </c>
      <c r="E12" s="8">
        <f t="shared" si="1"/>
        <v>149185.09999999998</v>
      </c>
      <c r="F12" s="8">
        <f>374270.95-280539.03</f>
        <v>93731.919999999984</v>
      </c>
      <c r="G12" s="8">
        <v>0</v>
      </c>
      <c r="H12" s="8">
        <f>61990.12-38717.68</f>
        <v>23272.440000000002</v>
      </c>
      <c r="I12" s="8">
        <v>0</v>
      </c>
      <c r="J12" s="8">
        <v>0</v>
      </c>
      <c r="K12" s="8">
        <f>92242.65-60061.91</f>
        <v>32180.739999999991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</row>
    <row r="13" spans="1:16" ht="25.5" customHeight="1">
      <c r="A13" s="51"/>
      <c r="B13" s="7" t="s">
        <v>43</v>
      </c>
      <c r="C13" s="8">
        <v>2750600</v>
      </c>
      <c r="D13" s="8">
        <f t="shared" si="0"/>
        <v>0</v>
      </c>
      <c r="E13" s="8">
        <f t="shared" si="1"/>
        <v>0</v>
      </c>
      <c r="F13" s="8">
        <f>1307100-1307100</f>
        <v>0</v>
      </c>
      <c r="G13" s="8">
        <v>0</v>
      </c>
      <c r="H13" s="8">
        <v>0</v>
      </c>
      <c r="I13" s="8">
        <v>0</v>
      </c>
      <c r="J13" s="8">
        <v>0</v>
      </c>
      <c r="K13" s="8">
        <f>1377240-1377240</f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</row>
    <row r="14" spans="1:16" ht="25.5" customHeight="1">
      <c r="A14" s="51"/>
      <c r="B14" s="7" t="s">
        <v>44</v>
      </c>
      <c r="C14" s="8">
        <v>6000000</v>
      </c>
      <c r="D14" s="8">
        <f t="shared" si="0"/>
        <v>0</v>
      </c>
      <c r="E14" s="8">
        <f t="shared" si="1"/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</row>
    <row r="15" spans="1:16" ht="25.5" customHeight="1">
      <c r="A15" s="51"/>
      <c r="B15" s="7" t="s">
        <v>45</v>
      </c>
      <c r="C15" s="8">
        <v>60000</v>
      </c>
      <c r="D15" s="8">
        <f t="shared" si="0"/>
        <v>0</v>
      </c>
      <c r="E15" s="8">
        <f t="shared" si="1"/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</row>
    <row r="16" spans="1:16" ht="25.5" customHeight="1">
      <c r="A16" s="51"/>
      <c r="B16" s="7" t="s">
        <v>46</v>
      </c>
      <c r="C16" s="8">
        <v>4793000</v>
      </c>
      <c r="D16" s="8">
        <f t="shared" si="0"/>
        <v>872000</v>
      </c>
      <c r="E16" s="8">
        <f t="shared" si="1"/>
        <v>872000</v>
      </c>
      <c r="F16" s="8">
        <v>0</v>
      </c>
      <c r="G16" s="8">
        <v>0</v>
      </c>
      <c r="H16" s="8">
        <f>2614500-1817500</f>
        <v>797000</v>
      </c>
      <c r="I16" s="8">
        <v>0</v>
      </c>
      <c r="J16" s="8">
        <v>0</v>
      </c>
      <c r="K16" s="8">
        <f>846053.28-846053.28</f>
        <v>0</v>
      </c>
      <c r="L16" s="8">
        <v>75000</v>
      </c>
      <c r="M16" s="8">
        <v>0</v>
      </c>
      <c r="N16" s="8">
        <v>0</v>
      </c>
      <c r="O16" s="8">
        <v>0</v>
      </c>
      <c r="P16" s="8">
        <v>0</v>
      </c>
    </row>
    <row r="17" spans="1:16" ht="25.5" customHeight="1" thickBot="1">
      <c r="A17" s="52"/>
      <c r="B17" s="9" t="s">
        <v>19</v>
      </c>
      <c r="C17" s="10">
        <f>SUM(C6:C16)</f>
        <v>67455000</v>
      </c>
      <c r="D17" s="10">
        <f>SUM(D6:D16)</f>
        <v>11792734.199999999</v>
      </c>
      <c r="E17" s="10">
        <f>SUM(E6:E16)</f>
        <v>11792734.199999999</v>
      </c>
      <c r="F17" s="10">
        <f t="shared" ref="F17:P17" si="2">SUM(F6:F16)</f>
        <v>3072150.33</v>
      </c>
      <c r="G17" s="10">
        <f t="shared" si="2"/>
        <v>212643</v>
      </c>
      <c r="H17" s="10">
        <f t="shared" si="2"/>
        <v>2676441.44</v>
      </c>
      <c r="I17" s="10">
        <f t="shared" si="2"/>
        <v>232260</v>
      </c>
      <c r="J17" s="10">
        <f t="shared" si="2"/>
        <v>176760</v>
      </c>
      <c r="K17" s="10">
        <f t="shared" si="2"/>
        <v>1556116.4300000002</v>
      </c>
      <c r="L17" s="10">
        <f t="shared" si="2"/>
        <v>75000</v>
      </c>
      <c r="M17" s="10">
        <f t="shared" si="2"/>
        <v>377420</v>
      </c>
      <c r="N17" s="10">
        <f t="shared" si="2"/>
        <v>0</v>
      </c>
      <c r="O17" s="10">
        <f t="shared" si="2"/>
        <v>39655</v>
      </c>
      <c r="P17" s="10">
        <f t="shared" si="2"/>
        <v>3374288</v>
      </c>
    </row>
    <row r="18" spans="1:16" ht="25.5" customHeight="1" thickTop="1">
      <c r="A18" s="50" t="s">
        <v>20</v>
      </c>
      <c r="B18" s="11" t="s">
        <v>20</v>
      </c>
      <c r="C18" s="12" t="s">
        <v>18</v>
      </c>
      <c r="D18" s="12" t="s">
        <v>18</v>
      </c>
      <c r="E18" s="12" t="s">
        <v>18</v>
      </c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25.5" customHeight="1">
      <c r="A19" s="51"/>
      <c r="B19" s="7" t="s">
        <v>47</v>
      </c>
      <c r="C19" s="8">
        <v>223000</v>
      </c>
      <c r="D19" s="8">
        <f>+E19</f>
        <v>138391.29000000004</v>
      </c>
      <c r="E19" s="8">
        <f>702742.02-564350.73</f>
        <v>138391.29000000004</v>
      </c>
      <c r="F19" s="39" t="s">
        <v>55</v>
      </c>
      <c r="G19" s="17"/>
      <c r="H19" s="17"/>
      <c r="I19" s="17"/>
      <c r="J19" s="40" t="s">
        <v>56</v>
      </c>
      <c r="K19" s="17"/>
      <c r="L19" s="17"/>
      <c r="M19" s="39" t="s">
        <v>56</v>
      </c>
      <c r="N19" s="17"/>
      <c r="O19" s="17"/>
      <c r="P19" s="17"/>
    </row>
    <row r="20" spans="1:16" ht="44.25" customHeight="1">
      <c r="A20" s="51"/>
      <c r="B20" s="7" t="s">
        <v>48</v>
      </c>
      <c r="C20" s="8">
        <v>146000</v>
      </c>
      <c r="D20" s="8">
        <f t="shared" ref="D20:D24" si="3">+E20</f>
        <v>38026.5</v>
      </c>
      <c r="E20" s="8">
        <f>193157.9-155131.4</f>
        <v>38026.5</v>
      </c>
      <c r="F20" s="22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37.5" customHeight="1">
      <c r="A21" s="51"/>
      <c r="B21" s="7" t="s">
        <v>49</v>
      </c>
      <c r="C21" s="8">
        <v>260000</v>
      </c>
      <c r="D21" s="8">
        <f t="shared" si="3"/>
        <v>59.539999999979045</v>
      </c>
      <c r="E21" s="8">
        <f>304437.68-304378.14</f>
        <v>59.539999999979045</v>
      </c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25.5" customHeight="1">
      <c r="A22" s="51"/>
      <c r="B22" s="7" t="s">
        <v>50</v>
      </c>
      <c r="C22" s="8">
        <v>330000</v>
      </c>
      <c r="D22" s="8">
        <f t="shared" si="3"/>
        <v>9700</v>
      </c>
      <c r="E22" s="8">
        <f>30110-20410</f>
        <v>9700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25.5" customHeight="1">
      <c r="A23" s="51"/>
      <c r="B23" s="7" t="s">
        <v>51</v>
      </c>
      <c r="C23" s="8">
        <v>27635000</v>
      </c>
      <c r="D23" s="8">
        <f t="shared" si="3"/>
        <v>6509198.4900000002</v>
      </c>
      <c r="E23" s="8">
        <f>21610199.73-15101001.24</f>
        <v>6509198.4900000002</v>
      </c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42" customHeight="1">
      <c r="A24" s="51"/>
      <c r="B24" s="7" t="s">
        <v>52</v>
      </c>
      <c r="C24" s="8">
        <v>38861000</v>
      </c>
      <c r="D24" s="8">
        <f t="shared" si="3"/>
        <v>5996485</v>
      </c>
      <c r="E24" s="8">
        <f>30919954.15-24923469.15</f>
        <v>5996485</v>
      </c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25.5" customHeight="1" thickBot="1">
      <c r="A25" s="52"/>
      <c r="B25" s="9" t="s">
        <v>21</v>
      </c>
      <c r="C25" s="10">
        <f>SUM(C19:C24)</f>
        <v>67455000</v>
      </c>
      <c r="D25" s="10">
        <f>SUM(D19:D24)</f>
        <v>12691860.82</v>
      </c>
      <c r="E25" s="10">
        <f>SUM(E19:E24)</f>
        <v>12691860.82</v>
      </c>
      <c r="F25" s="18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39.75" customHeight="1" thickTop="1" thickBot="1">
      <c r="A26" s="44" t="s">
        <v>22</v>
      </c>
      <c r="B26" s="45"/>
      <c r="C26" s="9" t="s">
        <v>18</v>
      </c>
      <c r="D26" s="9" t="s">
        <v>18</v>
      </c>
      <c r="E26" s="10">
        <f>+E25-E17</f>
        <v>899126.62000000104</v>
      </c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ht="25.5" customHeigh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mergeCells count="7">
    <mergeCell ref="A26:B26"/>
    <mergeCell ref="A1:P1"/>
    <mergeCell ref="A2:P2"/>
    <mergeCell ref="A3:P3"/>
    <mergeCell ref="A4:B4"/>
    <mergeCell ref="A5:A17"/>
    <mergeCell ref="A18:A2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topLeftCell="E16" workbookViewId="0">
      <selection activeCell="O24" sqref="O24"/>
    </sheetView>
  </sheetViews>
  <sheetFormatPr defaultRowHeight="18.75"/>
  <cols>
    <col min="1" max="1" width="1" style="24" customWidth="1"/>
    <col min="2" max="2" width="16.625" style="24" customWidth="1"/>
    <col min="3" max="3" width="15.125" style="24" customWidth="1"/>
    <col min="4" max="4" width="13" style="24" customWidth="1"/>
    <col min="5" max="5" width="11.75" style="24" customWidth="1"/>
    <col min="6" max="6" width="12.25" style="24" customWidth="1"/>
    <col min="7" max="7" width="11.5" style="24" customWidth="1"/>
    <col min="8" max="8" width="9" style="24"/>
    <col min="9" max="9" width="11.375" style="24" customWidth="1"/>
    <col min="10" max="11" width="9" style="24"/>
    <col min="12" max="12" width="10.875" style="24" customWidth="1"/>
    <col min="13" max="13" width="9" style="24"/>
    <col min="14" max="14" width="10.125" style="24" customWidth="1"/>
    <col min="15" max="15" width="11.375" style="24" customWidth="1"/>
    <col min="16" max="16" width="9" style="24"/>
    <col min="17" max="17" width="10.875" style="24" customWidth="1"/>
    <col min="18" max="16384" width="9" style="24"/>
  </cols>
  <sheetData>
    <row r="1" spans="1:17" ht="18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8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ht="18.75" customHeight="1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12.5">
      <c r="A4" s="58" t="s">
        <v>2</v>
      </c>
      <c r="B4" s="59"/>
      <c r="C4" s="25" t="s">
        <v>3</v>
      </c>
      <c r="D4" s="25" t="s">
        <v>4</v>
      </c>
      <c r="E4" s="25" t="s">
        <v>24</v>
      </c>
      <c r="F4" s="25" t="s">
        <v>5</v>
      </c>
      <c r="G4" s="25" t="s">
        <v>25</v>
      </c>
      <c r="H4" s="25" t="s">
        <v>26</v>
      </c>
      <c r="I4" s="25" t="s">
        <v>27</v>
      </c>
      <c r="J4" s="25" t="s">
        <v>28</v>
      </c>
      <c r="K4" s="25" t="s">
        <v>29</v>
      </c>
      <c r="L4" s="25" t="s">
        <v>30</v>
      </c>
      <c r="M4" s="25" t="s">
        <v>31</v>
      </c>
      <c r="N4" s="25" t="s">
        <v>32</v>
      </c>
      <c r="O4" s="25" t="s">
        <v>33</v>
      </c>
      <c r="P4" s="25" t="s">
        <v>34</v>
      </c>
      <c r="Q4" s="25" t="s">
        <v>35</v>
      </c>
    </row>
    <row r="5" spans="1:17">
      <c r="A5" s="60" t="s">
        <v>17</v>
      </c>
      <c r="B5" s="31" t="s">
        <v>17</v>
      </c>
      <c r="C5" s="26" t="s">
        <v>18</v>
      </c>
      <c r="D5" s="26" t="s">
        <v>18</v>
      </c>
      <c r="E5" s="26" t="s">
        <v>18</v>
      </c>
      <c r="F5" s="26" t="s">
        <v>18</v>
      </c>
      <c r="G5" s="26" t="s">
        <v>18</v>
      </c>
      <c r="H5" s="26" t="s">
        <v>18</v>
      </c>
      <c r="I5" s="26" t="s">
        <v>18</v>
      </c>
      <c r="J5" s="26" t="s">
        <v>18</v>
      </c>
      <c r="K5" s="26" t="s">
        <v>18</v>
      </c>
      <c r="L5" s="26" t="s">
        <v>18</v>
      </c>
      <c r="M5" s="26" t="s">
        <v>18</v>
      </c>
      <c r="N5" s="26" t="s">
        <v>18</v>
      </c>
      <c r="O5" s="26" t="s">
        <v>18</v>
      </c>
      <c r="P5" s="26" t="s">
        <v>18</v>
      </c>
      <c r="Q5" s="27" t="s">
        <v>18</v>
      </c>
    </row>
    <row r="6" spans="1:17" ht="25.5" customHeight="1">
      <c r="A6" s="61"/>
      <c r="B6" s="32" t="s">
        <v>36</v>
      </c>
      <c r="C6" s="28">
        <v>17507096</v>
      </c>
      <c r="D6" s="28">
        <f>+F6-E6</f>
        <v>2086288</v>
      </c>
      <c r="E6" s="28">
        <v>0</v>
      </c>
      <c r="F6" s="28">
        <f>SUM(G6:Q6)</f>
        <v>2086288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f>12231568-10145280</f>
        <v>2086288</v>
      </c>
    </row>
    <row r="7" spans="1:17" ht="25.5" customHeight="1">
      <c r="A7" s="61"/>
      <c r="B7" s="32" t="s">
        <v>37</v>
      </c>
      <c r="C7" s="28">
        <v>1135400</v>
      </c>
      <c r="D7" s="28">
        <f t="shared" ref="D7:D16" si="0">+F7-E7</f>
        <v>178560</v>
      </c>
      <c r="E7" s="28">
        <v>0</v>
      </c>
      <c r="F7" s="28">
        <f t="shared" ref="F7:F16" si="1">SUM(G7:Q7)</f>
        <v>178560</v>
      </c>
      <c r="G7" s="28">
        <f>803520-624960</f>
        <v>178560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</row>
    <row r="8" spans="1:17" ht="25.5" customHeight="1">
      <c r="A8" s="61"/>
      <c r="B8" s="32" t="s">
        <v>38</v>
      </c>
      <c r="C8" s="28">
        <v>16688190</v>
      </c>
      <c r="D8" s="28">
        <f t="shared" si="0"/>
        <v>2778826</v>
      </c>
      <c r="E8" s="28">
        <v>0</v>
      </c>
      <c r="F8" s="28">
        <f t="shared" si="1"/>
        <v>2778826</v>
      </c>
      <c r="G8" s="28">
        <f>5598430-4329760</f>
        <v>1268670</v>
      </c>
      <c r="H8" s="28">
        <f>489145-368898</f>
        <v>120247</v>
      </c>
      <c r="I8" s="28">
        <f>3286232-2525273</f>
        <v>760959</v>
      </c>
      <c r="J8" s="28">
        <f>696780-541940</f>
        <v>154840</v>
      </c>
      <c r="K8" s="28">
        <f>525720-407120</f>
        <v>118600</v>
      </c>
      <c r="L8" s="28">
        <f>1316709-1017769</f>
        <v>298940</v>
      </c>
      <c r="M8" s="28">
        <v>0</v>
      </c>
      <c r="N8" s="28">
        <f>135000-105000</f>
        <v>30000</v>
      </c>
      <c r="O8" s="28">
        <v>0</v>
      </c>
      <c r="P8" s="28">
        <f>119565-92995</f>
        <v>26570</v>
      </c>
      <c r="Q8" s="28">
        <v>0</v>
      </c>
    </row>
    <row r="9" spans="1:17" ht="25.5" customHeight="1">
      <c r="A9" s="61"/>
      <c r="B9" s="32" t="s">
        <v>39</v>
      </c>
      <c r="C9" s="28">
        <v>1368718</v>
      </c>
      <c r="D9" s="28">
        <f t="shared" si="0"/>
        <v>49000</v>
      </c>
      <c r="E9" s="28">
        <v>0</v>
      </c>
      <c r="F9" s="28">
        <f t="shared" si="1"/>
        <v>49000</v>
      </c>
      <c r="G9" s="28">
        <f>65125-45725</f>
        <v>19400</v>
      </c>
      <c r="H9" s="28">
        <f>35400-18600</f>
        <v>16800</v>
      </c>
      <c r="I9" s="28">
        <f>28200-18900</f>
        <v>9300</v>
      </c>
      <c r="J9" s="28">
        <v>0</v>
      </c>
      <c r="K9" s="28">
        <v>0</v>
      </c>
      <c r="L9" s="28">
        <f>9750-6250</f>
        <v>3500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</row>
    <row r="10" spans="1:17" ht="25.5" customHeight="1">
      <c r="A10" s="61"/>
      <c r="B10" s="32" t="s">
        <v>40</v>
      </c>
      <c r="C10" s="28">
        <v>10570200</v>
      </c>
      <c r="D10" s="28">
        <f t="shared" si="0"/>
        <v>1344428.9000000001</v>
      </c>
      <c r="E10" s="28">
        <f>585500-585500</f>
        <v>0</v>
      </c>
      <c r="F10" s="28">
        <f>SUM(G10:Q10)</f>
        <v>1344428.9000000001</v>
      </c>
      <c r="G10" s="28">
        <f>1101797.93-866427.27</f>
        <v>235370.65999999992</v>
      </c>
      <c r="H10" s="28">
        <f>11700-9900</f>
        <v>1800</v>
      </c>
      <c r="I10" s="28">
        <f>1267720-922370</f>
        <v>345350</v>
      </c>
      <c r="J10" s="28">
        <f>161240-161240</f>
        <v>0</v>
      </c>
      <c r="K10" s="28">
        <v>0</v>
      </c>
      <c r="L10" s="28">
        <f>3093554.24-2411516</f>
        <v>682038.24000000022</v>
      </c>
      <c r="M10" s="28">
        <f>29770-29770</f>
        <v>0</v>
      </c>
      <c r="N10" s="28">
        <f>968230-888360</f>
        <v>79870</v>
      </c>
      <c r="O10" s="28">
        <f>585500-585500</f>
        <v>0</v>
      </c>
      <c r="P10" s="28">
        <v>0</v>
      </c>
      <c r="Q10" s="28">
        <v>0</v>
      </c>
    </row>
    <row r="11" spans="1:17" ht="25.5" customHeight="1">
      <c r="A11" s="61"/>
      <c r="B11" s="32" t="s">
        <v>41</v>
      </c>
      <c r="C11" s="28">
        <v>5626094.7999999998</v>
      </c>
      <c r="D11" s="28">
        <f t="shared" si="0"/>
        <v>444604.7</v>
      </c>
      <c r="E11" s="28">
        <v>0</v>
      </c>
      <c r="F11" s="28">
        <f t="shared" si="1"/>
        <v>444604.7</v>
      </c>
      <c r="G11" s="28">
        <f>807996.4-639431.15</f>
        <v>168565.25</v>
      </c>
      <c r="H11" s="28">
        <f>130256-116285</f>
        <v>13971</v>
      </c>
      <c r="I11" s="28">
        <f>1533437.6-1353577.6</f>
        <v>179860</v>
      </c>
      <c r="J11" s="28">
        <v>0</v>
      </c>
      <c r="K11" s="28">
        <v>0</v>
      </c>
      <c r="L11" s="28">
        <f>589128.4-506919.95</f>
        <v>82208.450000000012</v>
      </c>
      <c r="M11" s="28">
        <v>0</v>
      </c>
      <c r="N11" s="28">
        <v>0</v>
      </c>
      <c r="O11" s="28">
        <f>332869-332869</f>
        <v>0</v>
      </c>
      <c r="P11" s="28">
        <f>10000-10000</f>
        <v>0</v>
      </c>
      <c r="Q11" s="28">
        <v>0</v>
      </c>
    </row>
    <row r="12" spans="1:17" ht="25.5" customHeight="1">
      <c r="A12" s="61"/>
      <c r="B12" s="32" t="s">
        <v>42</v>
      </c>
      <c r="C12" s="28">
        <v>955701.2</v>
      </c>
      <c r="D12" s="28">
        <f t="shared" si="0"/>
        <v>95331.040000000008</v>
      </c>
      <c r="E12" s="28">
        <v>0</v>
      </c>
      <c r="F12" s="28">
        <f t="shared" si="1"/>
        <v>95331.040000000008</v>
      </c>
      <c r="G12" s="28">
        <f>374270.95-326668.44</f>
        <v>47602.510000000009</v>
      </c>
      <c r="H12" s="28">
        <v>0</v>
      </c>
      <c r="I12" s="28">
        <f>61990.12-46442.33</f>
        <v>15547.79</v>
      </c>
      <c r="J12" s="28">
        <v>0</v>
      </c>
      <c r="K12" s="28">
        <v>0</v>
      </c>
      <c r="L12" s="28">
        <f>92242.65-60061.91</f>
        <v>32180.739999999991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</row>
    <row r="13" spans="1:17" ht="25.5" customHeight="1">
      <c r="A13" s="61"/>
      <c r="B13" s="32" t="s">
        <v>43</v>
      </c>
      <c r="C13" s="28">
        <v>2750600</v>
      </c>
      <c r="D13" s="28">
        <f t="shared" si="0"/>
        <v>0</v>
      </c>
      <c r="E13" s="28">
        <v>0</v>
      </c>
      <c r="F13" s="28">
        <f t="shared" si="1"/>
        <v>0</v>
      </c>
      <c r="G13" s="28">
        <f>1307100-1307100</f>
        <v>0</v>
      </c>
      <c r="H13" s="28">
        <v>0</v>
      </c>
      <c r="I13" s="28">
        <v>0</v>
      </c>
      <c r="J13" s="28">
        <v>0</v>
      </c>
      <c r="K13" s="28">
        <v>0</v>
      </c>
      <c r="L13" s="28">
        <f>1377240-1377240</f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</row>
    <row r="14" spans="1:17" ht="25.5" customHeight="1">
      <c r="A14" s="61"/>
      <c r="B14" s="32" t="s">
        <v>44</v>
      </c>
      <c r="C14" s="28">
        <v>6000000</v>
      </c>
      <c r="D14" s="28">
        <f t="shared" si="0"/>
        <v>0</v>
      </c>
      <c r="E14" s="28">
        <f>13231500-7461500</f>
        <v>5770000</v>
      </c>
      <c r="F14" s="28">
        <f t="shared" si="1"/>
        <v>5770000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107000</v>
      </c>
      <c r="M14" s="28">
        <v>0</v>
      </c>
      <c r="N14" s="28">
        <f>687000-687000</f>
        <v>0</v>
      </c>
      <c r="O14" s="28">
        <f>12437500-6774500</f>
        <v>5663000</v>
      </c>
      <c r="P14" s="28">
        <v>0</v>
      </c>
      <c r="Q14" s="28">
        <v>0</v>
      </c>
    </row>
    <row r="15" spans="1:17" ht="25.5" customHeight="1">
      <c r="A15" s="61"/>
      <c r="B15" s="32" t="s">
        <v>45</v>
      </c>
      <c r="C15" s="28">
        <v>60000</v>
      </c>
      <c r="D15" s="28">
        <f t="shared" si="0"/>
        <v>0</v>
      </c>
      <c r="E15" s="28">
        <v>0</v>
      </c>
      <c r="F15" s="28">
        <f t="shared" si="1"/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</row>
    <row r="16" spans="1:17" ht="25.5" customHeight="1">
      <c r="A16" s="61"/>
      <c r="B16" s="32" t="s">
        <v>46</v>
      </c>
      <c r="C16" s="28">
        <v>4793000</v>
      </c>
      <c r="D16" s="28">
        <f t="shared" si="0"/>
        <v>0</v>
      </c>
      <c r="E16" s="28">
        <v>0</v>
      </c>
      <c r="F16" s="28">
        <f t="shared" si="1"/>
        <v>0</v>
      </c>
      <c r="G16" s="28">
        <v>0</v>
      </c>
      <c r="H16" s="28">
        <v>0</v>
      </c>
      <c r="I16" s="28">
        <f>2614500-2614500</f>
        <v>0</v>
      </c>
      <c r="J16" s="28">
        <v>0</v>
      </c>
      <c r="K16" s="28">
        <v>0</v>
      </c>
      <c r="L16" s="28">
        <f>846053.28-846053.28</f>
        <v>0</v>
      </c>
      <c r="M16" s="28">
        <f>75000-75000</f>
        <v>0</v>
      </c>
      <c r="N16" s="28">
        <v>0</v>
      </c>
      <c r="O16" s="28">
        <v>0</v>
      </c>
      <c r="P16" s="28">
        <v>0</v>
      </c>
      <c r="Q16" s="28">
        <v>0</v>
      </c>
    </row>
    <row r="17" spans="1:17" ht="25.5" customHeight="1" thickBot="1">
      <c r="A17" s="62"/>
      <c r="B17" s="13" t="s">
        <v>19</v>
      </c>
      <c r="C17" s="29">
        <f>SUM(C6:C16)</f>
        <v>67455000</v>
      </c>
      <c r="D17" s="29">
        <f t="shared" ref="D17:Q17" si="2">SUM(D6:D16)</f>
        <v>6977038.6400000006</v>
      </c>
      <c r="E17" s="29">
        <f>SUM(E6:E16)</f>
        <v>5770000</v>
      </c>
      <c r="F17" s="29">
        <f t="shared" si="2"/>
        <v>12747038.640000001</v>
      </c>
      <c r="G17" s="29">
        <f t="shared" si="2"/>
        <v>1918168.42</v>
      </c>
      <c r="H17" s="29">
        <f t="shared" si="2"/>
        <v>152818</v>
      </c>
      <c r="I17" s="29">
        <f t="shared" si="2"/>
        <v>1311016.79</v>
      </c>
      <c r="J17" s="29">
        <f t="shared" si="2"/>
        <v>154840</v>
      </c>
      <c r="K17" s="29">
        <f t="shared" si="2"/>
        <v>118600</v>
      </c>
      <c r="L17" s="29">
        <f t="shared" si="2"/>
        <v>1205867.4300000002</v>
      </c>
      <c r="M17" s="29">
        <f t="shared" si="2"/>
        <v>0</v>
      </c>
      <c r="N17" s="29">
        <f t="shared" si="2"/>
        <v>109870</v>
      </c>
      <c r="O17" s="29">
        <f t="shared" si="2"/>
        <v>5663000</v>
      </c>
      <c r="P17" s="29">
        <f t="shared" si="2"/>
        <v>26570</v>
      </c>
      <c r="Q17" s="29">
        <f t="shared" si="2"/>
        <v>2086288</v>
      </c>
    </row>
    <row r="18" spans="1:17" ht="25.5" customHeight="1" thickTop="1">
      <c r="A18" s="60" t="s">
        <v>20</v>
      </c>
      <c r="B18" s="31" t="s">
        <v>20</v>
      </c>
      <c r="C18" s="30" t="s">
        <v>18</v>
      </c>
      <c r="D18" s="30" t="s">
        <v>18</v>
      </c>
      <c r="E18" s="30" t="s">
        <v>18</v>
      </c>
      <c r="F18" s="30" t="s">
        <v>18</v>
      </c>
      <c r="G18" s="33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ht="25.5" customHeight="1">
      <c r="A19" s="61"/>
      <c r="B19" s="32" t="s">
        <v>47</v>
      </c>
      <c r="C19" s="28">
        <v>223000</v>
      </c>
      <c r="D19" s="28">
        <f>+F19</f>
        <v>107446.69000000006</v>
      </c>
      <c r="E19" s="28">
        <v>0</v>
      </c>
      <c r="F19" s="28">
        <f>702742.02-595295.33</f>
        <v>107446.69000000006</v>
      </c>
      <c r="G19" s="39" t="s">
        <v>55</v>
      </c>
      <c r="H19" s="39"/>
      <c r="I19" s="17"/>
      <c r="J19" s="17"/>
      <c r="K19" s="40" t="s">
        <v>56</v>
      </c>
      <c r="L19" s="17"/>
      <c r="M19" s="17"/>
      <c r="N19" s="39" t="s">
        <v>56</v>
      </c>
      <c r="O19" s="36"/>
      <c r="P19" s="36"/>
      <c r="Q19" s="36"/>
    </row>
    <row r="20" spans="1:17" ht="44.25" customHeight="1">
      <c r="A20" s="61"/>
      <c r="B20" s="32" t="s">
        <v>48</v>
      </c>
      <c r="C20" s="28">
        <v>146000</v>
      </c>
      <c r="D20" s="28">
        <f t="shared" ref="D20:D24" si="3">+F20</f>
        <v>33969</v>
      </c>
      <c r="E20" s="28">
        <v>0</v>
      </c>
      <c r="F20" s="28">
        <f>193157.9-159188.9</f>
        <v>33969</v>
      </c>
      <c r="G20" s="35"/>
      <c r="H20" s="36"/>
      <c r="I20" s="36"/>
      <c r="J20" s="36"/>
      <c r="K20" s="36"/>
      <c r="L20" s="41"/>
      <c r="M20" s="36"/>
      <c r="N20" s="36"/>
      <c r="O20" s="36"/>
      <c r="P20" s="36"/>
      <c r="Q20" s="36"/>
    </row>
    <row r="21" spans="1:17" ht="25.5" customHeight="1">
      <c r="A21" s="61"/>
      <c r="B21" s="32" t="s">
        <v>49</v>
      </c>
      <c r="C21" s="28">
        <v>260000</v>
      </c>
      <c r="D21" s="28">
        <f t="shared" si="3"/>
        <v>0</v>
      </c>
      <c r="E21" s="28">
        <v>0</v>
      </c>
      <c r="F21" s="28">
        <f>304437.68-304437.68</f>
        <v>0</v>
      </c>
      <c r="G21" s="35"/>
      <c r="H21" s="36"/>
      <c r="I21" s="36"/>
      <c r="J21" s="36"/>
      <c r="K21" s="36"/>
      <c r="L21" s="41"/>
      <c r="M21" s="36"/>
      <c r="N21" s="36"/>
      <c r="O21" s="36"/>
      <c r="P21" s="36"/>
      <c r="Q21" s="36"/>
    </row>
    <row r="22" spans="1:17" ht="25.5" customHeight="1">
      <c r="A22" s="61"/>
      <c r="B22" s="32" t="s">
        <v>50</v>
      </c>
      <c r="C22" s="28">
        <v>330000</v>
      </c>
      <c r="D22" s="28">
        <f t="shared" si="3"/>
        <v>6800</v>
      </c>
      <c r="E22" s="28">
        <v>0</v>
      </c>
      <c r="F22" s="28">
        <f>30110-23310</f>
        <v>6800</v>
      </c>
      <c r="G22" s="35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ht="25.5" customHeight="1">
      <c r="A23" s="61"/>
      <c r="B23" s="32" t="s">
        <v>51</v>
      </c>
      <c r="C23" s="28">
        <v>27635000</v>
      </c>
      <c r="D23" s="28">
        <f t="shared" si="3"/>
        <v>3176610.59</v>
      </c>
      <c r="E23" s="28">
        <v>0</v>
      </c>
      <c r="F23" s="28">
        <f>21610199.73-18433589.14</f>
        <v>3176610.59</v>
      </c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ht="25.5" customHeight="1">
      <c r="A24" s="61"/>
      <c r="B24" s="32" t="s">
        <v>52</v>
      </c>
      <c r="C24" s="28">
        <v>38861000</v>
      </c>
      <c r="D24" s="28">
        <f t="shared" si="3"/>
        <v>0</v>
      </c>
      <c r="E24" s="28">
        <v>0</v>
      </c>
      <c r="F24" s="28">
        <f>30919954.15-30919954.15</f>
        <v>0</v>
      </c>
      <c r="G24" s="35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1:17" ht="25.5" customHeight="1" thickBot="1">
      <c r="A25" s="62"/>
      <c r="B25" s="13" t="s">
        <v>21</v>
      </c>
      <c r="C25" s="29">
        <f>SUM(C19:C24)</f>
        <v>67455000</v>
      </c>
      <c r="D25" s="29">
        <f>SUM(D19:D24)</f>
        <v>3324826.28</v>
      </c>
      <c r="E25" s="29">
        <v>0</v>
      </c>
      <c r="F25" s="29">
        <f>SUM(F19:F24)</f>
        <v>3324826.28</v>
      </c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42.75" customHeight="1" thickTop="1" thickBot="1">
      <c r="A26" s="53" t="s">
        <v>22</v>
      </c>
      <c r="B26" s="54"/>
      <c r="C26" s="13" t="s">
        <v>18</v>
      </c>
      <c r="D26" s="13" t="s">
        <v>18</v>
      </c>
      <c r="E26" s="13" t="s">
        <v>18</v>
      </c>
      <c r="F26" s="29">
        <f>+F25-F17</f>
        <v>-9422212.3600000013</v>
      </c>
      <c r="G26" s="20" t="s">
        <v>18</v>
      </c>
      <c r="H26" s="42" t="s">
        <v>18</v>
      </c>
      <c r="I26" s="42" t="s">
        <v>18</v>
      </c>
      <c r="J26" s="42" t="s">
        <v>18</v>
      </c>
      <c r="K26" s="42" t="s">
        <v>18</v>
      </c>
      <c r="L26" s="42" t="s">
        <v>18</v>
      </c>
      <c r="M26" s="42" t="s">
        <v>18</v>
      </c>
      <c r="N26" s="42" t="s">
        <v>18</v>
      </c>
      <c r="O26" s="42" t="s">
        <v>18</v>
      </c>
      <c r="P26" s="42" t="s">
        <v>18</v>
      </c>
      <c r="Q26" s="43" t="s">
        <v>18</v>
      </c>
    </row>
    <row r="27" spans="1:17" ht="19.5" thickTop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</sheetData>
  <mergeCells count="7">
    <mergeCell ref="A26:B26"/>
    <mergeCell ref="A1:Q1"/>
    <mergeCell ref="A2:Q2"/>
    <mergeCell ref="A3:Q3"/>
    <mergeCell ref="A4:B4"/>
    <mergeCell ref="A5:A17"/>
    <mergeCell ref="A18:A25"/>
  </mergeCells>
  <printOptions horizontalCentered="1"/>
  <pageMargins left="0.51181102362204722" right="0.51181102362204722" top="0.55118110236220474" bottom="0.35433070866141736" header="0.31496062992125984" footer="0.31496062992125984"/>
  <pageSetup paperSize="9" scale="65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ผลการดำเนินงานรายรับ เม.ย-มิ.ย</vt:lpstr>
      <vt:lpstr>ดำเนินงานเงินสะสม รายรับเม.ย-มิ</vt:lpstr>
      <vt:lpstr>Sheet3</vt:lpstr>
    </vt:vector>
  </TitlesOfParts>
  <Company>thailand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</dc:creator>
  <cp:lastModifiedBy>siam</cp:lastModifiedBy>
  <cp:lastPrinted>2018-07-02T02:17:16Z</cp:lastPrinted>
  <dcterms:created xsi:type="dcterms:W3CDTF">2018-06-29T12:24:24Z</dcterms:created>
  <dcterms:modified xsi:type="dcterms:W3CDTF">2018-07-10T07:20:50Z</dcterms:modified>
</cp:coreProperties>
</file>