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36" windowHeight="8627" tabRatio="856" activeTab="9"/>
  </bookViews>
  <sheets>
    <sheet name="ใบผ่านรายการ 1 " sheetId="1" r:id="rId1"/>
    <sheet name="ใบผ่านรายการ  2" sheetId="2" r:id="rId2"/>
    <sheet name="ใบผ่านรายการ3" sheetId="3" r:id="rId3"/>
    <sheet name="ใบผ่านทั่วไป" sheetId="4" r:id="rId4"/>
    <sheet name="กระดาษทำการ" sheetId="5" r:id="rId5"/>
    <sheet name="งบทดลอง " sheetId="6" r:id="rId6"/>
    <sheet name="รับ-จ่าย  (2)" sheetId="7" r:id="rId7"/>
    <sheet name="งบกระแส " sheetId="8" r:id="rId8"/>
    <sheet name="หมายเหตุ2" sheetId="9" r:id="rId9"/>
    <sheet name="หมายเหตุ3" sheetId="10" r:id="rId10"/>
    <sheet name="หมายเหตุ 4 (2)" sheetId="11" r:id="rId11"/>
    <sheet name="งบกระทบยอด " sheetId="12" r:id="rId12"/>
    <sheet name="Sheet1" sheetId="13" r:id="rId13"/>
  </sheets>
  <externalReferences>
    <externalReference r:id="rId16"/>
  </externalReferences>
  <definedNames>
    <definedName name="_xlnm.Print_Area" localSheetId="4">'กระดาษทำการ'!$A$1:$L$53</definedName>
    <definedName name="_xlnm.Print_Area" localSheetId="7">'งบกระแส '!$A$1:$D$50</definedName>
    <definedName name="_xlnm.Print_Area" localSheetId="5">'งบทดลอง '!$A$1:$D$53</definedName>
    <definedName name="_xlnm.Print_Area" localSheetId="1">'ใบผ่านรายการ  2'!$A$1:$H$57</definedName>
    <definedName name="_xlnm.Print_Area" localSheetId="0">'ใบผ่านรายการ 1 '!$A$1:$I$43</definedName>
    <definedName name="_xlnm.Print_Area" localSheetId="10">'หมายเหตุ 4 (2)'!$A$1:$AJ$21</definedName>
    <definedName name="_xlnm.Print_Area" localSheetId="8">'หมายเหตุ2'!$A$1:$F$19</definedName>
    <definedName name="_xlnm.Print_Titles" localSheetId="4">'กระดาษทำการ'!$1:$2</definedName>
    <definedName name="_xlnm.Print_Titles" localSheetId="3">'ใบผ่านทั่วไป'!$1192:$1196</definedName>
  </definedNames>
  <calcPr fullCalcOnLoad="1"/>
</workbook>
</file>

<file path=xl/sharedStrings.xml><?xml version="1.0" encoding="utf-8"?>
<sst xmlns="http://schemas.openxmlformats.org/spreadsheetml/2006/main" count="1898" uniqueCount="774">
  <si>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</si>
  <si>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</si>
  <si>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</si>
  <si>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</si>
  <si>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</si>
  <si>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ค่าที่ดินและสิ่งก่อสร้าง</t>
  </si>
  <si>
    <t>เงินรายรับ</t>
  </si>
  <si>
    <t>เงินสะสม</t>
  </si>
  <si>
    <t>ชื่อบัญชี</t>
  </si>
  <si>
    <t>เดบิท</t>
  </si>
  <si>
    <t>เครดิต</t>
  </si>
  <si>
    <t>รายได้เบ็ดเตล็ด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</si>
  <si>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</si>
  <si>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</si>
  <si>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</si>
  <si>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สำนักงานเทศบาลตำบลตลาดแค</t>
  </si>
  <si>
    <t>เงินรับฝาก(หมายเหตุ 2)</t>
  </si>
  <si>
    <t>ผู้ตรวจสอบ</t>
  </si>
  <si>
    <t>ธนาคารกรุงไทย        สาขาจอหอ</t>
  </si>
  <si>
    <t>ผ่าน1Dr</t>
  </si>
  <si>
    <t>ผ่าน2Cr</t>
  </si>
  <si>
    <t>ผ่าน1Cr</t>
  </si>
  <si>
    <t>ทั่วไปCr</t>
  </si>
  <si>
    <t>คงเหลือDr</t>
  </si>
  <si>
    <t>คงเหลือCr</t>
  </si>
  <si>
    <t>กรุงไทย  จอหอ  (461-2)</t>
  </si>
  <si>
    <t>จนถึงปัจจุบัน</t>
  </si>
  <si>
    <t>เดือนนี้</t>
  </si>
  <si>
    <t>ประมาณการ</t>
  </si>
  <si>
    <t>เกิดขึ้นจริง</t>
  </si>
  <si>
    <t>บาท</t>
  </si>
  <si>
    <t>ภาษีอากร</t>
  </si>
  <si>
    <t>ค่าธรรมเนียม ค่าปรับและใบอนุญาต</t>
  </si>
  <si>
    <t>รายได้จากทรัพย์สิน</t>
  </si>
  <si>
    <t>ผู้จัดทำ</t>
  </si>
  <si>
    <t>ลูกหนี้เงินยืมสะสม</t>
  </si>
  <si>
    <t>ลูกหนี้เงินยืมเงินสะสม</t>
  </si>
  <si>
    <t>เทศบาลตำบลตลาดแค  อำเภอโนนสูง  จังหวัดนครราชสีมา</t>
  </si>
  <si>
    <t>ที่ดิน/สิ่งก่อสร้าง</t>
  </si>
  <si>
    <t>รายจ่ายอื่น</t>
  </si>
  <si>
    <t>เงินทุนสำรองเงินสะสม</t>
  </si>
  <si>
    <t>รายรับ  (หมายเหตุ  1)</t>
  </si>
  <si>
    <t>เงินรับฝาก  (หมายเหตุ 2)</t>
  </si>
  <si>
    <t>เงินฝาก  กสท.</t>
  </si>
  <si>
    <t>รายได้จากทุน</t>
  </si>
  <si>
    <t>งบกลาง</t>
  </si>
  <si>
    <t>จำนวนเงิน</t>
  </si>
  <si>
    <t>รหัสบัญชี</t>
  </si>
  <si>
    <t>ยอดยกมา</t>
  </si>
  <si>
    <t xml:space="preserve">                      รวม</t>
  </si>
  <si>
    <t xml:space="preserve">                       รวม</t>
  </si>
  <si>
    <t>วันที่</t>
  </si>
  <si>
    <t>รายการ</t>
  </si>
  <si>
    <t xml:space="preserve"> </t>
  </si>
  <si>
    <t>รายได้จากสาธารณูปโภคและการพาณิชย์</t>
  </si>
  <si>
    <t>ลูกหนี้เงินยืมเงินงบประมาณ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</si>
  <si>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</si>
  <si>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</si>
  <si>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</si>
  <si>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</si>
  <si>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รับเงินสด</t>
  </si>
  <si>
    <t>รับเงินสะสม</t>
  </si>
  <si>
    <t>รายละเอียดประกอบงบทดลองและรายงานรับ - จ่ายเงินสด</t>
  </si>
  <si>
    <t>รับ</t>
  </si>
  <si>
    <t>จ่าย</t>
  </si>
  <si>
    <t>คงเหลือ</t>
  </si>
  <si>
    <t>รวมรายรับ</t>
  </si>
  <si>
    <t>รายจ่าย</t>
  </si>
  <si>
    <t>รายจ่ายอื่น ๆ</t>
  </si>
  <si>
    <t>รวมรายจ่าย</t>
  </si>
  <si>
    <t>รวม</t>
  </si>
  <si>
    <t>เลขที่เช็ค</t>
  </si>
  <si>
    <t>เงินรับฝาก - ภาษีหัก  ณ  ที่จ่าย</t>
  </si>
  <si>
    <t>รวมทั้งสิ้น</t>
  </si>
  <si>
    <t xml:space="preserve">  </t>
  </si>
  <si>
    <t>บวก: หรือ (หัก)  รายการกระทบยอดอื่น ๆ</t>
  </si>
  <si>
    <t>เทศบาลตำบลตลาดแค</t>
  </si>
  <si>
    <t>งบทดลอง</t>
  </si>
  <si>
    <t>เงินสด</t>
  </si>
  <si>
    <t>ลูกหนี้เงินยืมงบประมาณ</t>
  </si>
  <si>
    <t>ค่าครุภัณฑ์</t>
  </si>
  <si>
    <t>รายจ่ายค้างจ่าย</t>
  </si>
  <si>
    <t>เงินอุดหนุนทั่วไป</t>
  </si>
  <si>
    <t>จ่ายเงินตามงบประมาณ</t>
  </si>
  <si>
    <t>จ่ายเงินรับฝาก</t>
  </si>
  <si>
    <t>รับ   สูง   หรือ  (ต่ำ)  กว่ารายจ่าย</t>
  </si>
  <si>
    <t>ภาษีจัดสรร</t>
  </si>
  <si>
    <t>เงินรับฝาก (หมายเหตุ 2)</t>
  </si>
  <si>
    <t>รายรับ</t>
  </si>
  <si>
    <t>ใบผ่านรายการบัญชีทั่วไป</t>
  </si>
  <si>
    <t xml:space="preserve">คำอธิบาย </t>
  </si>
  <si>
    <t>เงินฝากก.ส.ท.</t>
  </si>
  <si>
    <t>รับคืนเงินเดือน</t>
  </si>
  <si>
    <t>รับเงินจากลูกหนี้เงินยืมงบประมาณ</t>
  </si>
  <si>
    <t>ทรัพย์สินเกิดจากเงินกู้</t>
  </si>
  <si>
    <t>รายจ่ายรอจ่าย</t>
  </si>
  <si>
    <t>เจ้าหนี้เงินกู้- สพม.</t>
  </si>
  <si>
    <t>เจ้าหนี้เงินกู้-สำนักงานกองทุนพัฒนาเมืองฯ</t>
  </si>
  <si>
    <t xml:space="preserve">ทรัพย์สินเกิดจากเงินกู้ </t>
  </si>
  <si>
    <t>รับคืนลูกหนี้เงินยืมสะสม</t>
  </si>
  <si>
    <t>เงินฝากธนาคารกรุงไทย   (270-5)</t>
  </si>
  <si>
    <t>เงินฝากธนาคารกรุงไทย  (270-5)</t>
  </si>
  <si>
    <t>กรุงไทย  จอหอ  (270-5)</t>
  </si>
  <si>
    <t>ลูกหนี้เงินยืมตามงบประมาณ (ส่งใช้เงินยืม)</t>
  </si>
  <si>
    <t xml:space="preserve">รับเงินอุดหนุนเฉพาะกิจ </t>
  </si>
  <si>
    <t>จ่ายเงินอุดหนุนเฉพาะกิจ</t>
  </si>
  <si>
    <t>จ่ายเงินฝาก กสท.</t>
  </si>
  <si>
    <t>จ่ายเจ้าหนี้เงินกู้ (กองทุนเมือง)</t>
  </si>
  <si>
    <t>บวก : เงินฝากระหว่างทาง</t>
  </si>
  <si>
    <t>เงินฝากธนาคารกรุงไทย 270 - 5</t>
  </si>
  <si>
    <t>เงินฝากธนาคารกรุงไทย 461 - 2</t>
  </si>
  <si>
    <t>จ่ายเงินอุดหนุนโครงการไทยเข้มแข็ง</t>
  </si>
  <si>
    <t>รับเงินอุดหนุนโครงการไทยเข้มแข็ง</t>
  </si>
  <si>
    <t>เทศบาลตลาดแค</t>
  </si>
  <si>
    <t>หมายเหตุ</t>
  </si>
  <si>
    <t>เจ้าหนี้เงินกู้- กสท.</t>
  </si>
  <si>
    <t>เจ้าหนี้เงินกู้-กองทุนส่งเสริมกิจการเทศบาล</t>
  </si>
  <si>
    <t>เงินอุดหนุนเฉพาะกิจ (ส่งคืนจังหวัด)</t>
  </si>
  <si>
    <t>รับเงินกู้จากเจ้าหนี้(กู้กองทุนส่งเสริมกิจการเทศบาล)</t>
  </si>
  <si>
    <t>รับคืนค่าตอบแทน</t>
  </si>
  <si>
    <t xml:space="preserve">        </t>
  </si>
  <si>
    <t>งานการเงินและบัญชี กองคลัง เทศบาลตำบลตลาดแค</t>
  </si>
  <si>
    <t>ออมสินโนนสูง  (983-0)</t>
  </si>
  <si>
    <t>ใบผ่านรายการบัญชีมาตรฐาน (2)</t>
  </si>
  <si>
    <t xml:space="preserve">ปรับปรุงบัญชีเงินฝากธนาคารกรุงไทย (461-2) เข้าบัญชีเงินฝากธนาคารกรุงไทย (270-5) </t>
  </si>
  <si>
    <t xml:space="preserve">ธนาคารกรุงไทย        </t>
  </si>
  <si>
    <t>กระแสรายวัน</t>
  </si>
  <si>
    <t>สาขาจอหอ</t>
  </si>
  <si>
    <t>ค่าใช้จ่ายภาษีบำรุงท้องที่  5 %</t>
  </si>
  <si>
    <t xml:space="preserve">เงินฝากธนาคารกรุงไทย   (461-2) </t>
  </si>
  <si>
    <t>หมายเหตุ   2</t>
  </si>
  <si>
    <t>ออมสินโนนสูง  (224-2)</t>
  </si>
  <si>
    <t>ภาษีหัก  ณ  ที่จ่าย</t>
  </si>
  <si>
    <t>เงินประกันสัญญา (ตลาด)</t>
  </si>
  <si>
    <t>ออมสินโนนสูง  (5003-6)</t>
  </si>
  <si>
    <t>รับคืนเงินอุดหนุน</t>
  </si>
  <si>
    <t>รับฝากเดบิท</t>
  </si>
  <si>
    <t>รับฝากเครดิต</t>
  </si>
  <si>
    <t>ลูกหนี้เงินยืมเงินสะสม (ส่งใช้เงินยืม)</t>
  </si>
  <si>
    <t>รับคืนงบกลาง (เบิกเกินส่งคืน)</t>
  </si>
  <si>
    <t>รับคืนงบกลาง</t>
  </si>
  <si>
    <t>โครงการ</t>
  </si>
  <si>
    <t>รายจ่ายค้างจ่าย (หมายเหตุ 3)</t>
  </si>
  <si>
    <t>รับคืนเงินเดือน (เบิกเกินส่งคืน)</t>
  </si>
  <si>
    <t>รับคืนค่าจ้างประจำ (เบิกเกินส่งคืน)</t>
  </si>
  <si>
    <t>รับคืนค่าจ้างประจำ</t>
  </si>
  <si>
    <t>เงินขาดบัญชี</t>
  </si>
  <si>
    <t>เงินขาดบัญขี</t>
  </si>
  <si>
    <t>จ่ายเงินขาดบัญชี</t>
  </si>
  <si>
    <t>เงินรับฝาก  -หลักประกันซอง</t>
  </si>
  <si>
    <t>เงินรับฝาก - ค่าใช้จ่าย 5%</t>
  </si>
  <si>
    <t>เงินฝากธนาคารออมสินโนนสูง  (5003-6)</t>
  </si>
  <si>
    <t>เงินฝากธนาคารออมสินโนนสูง  (983-0)</t>
  </si>
  <si>
    <t>รวมรับเงินรับฝาก</t>
  </si>
  <si>
    <t>รับคืนค่าจ้างชั่วคราว (เบิกเกินส่งคืน)</t>
  </si>
  <si>
    <t>ยอดรวมตามงบทดลอง</t>
  </si>
  <si>
    <t>รับคืนค่าจ้างชั่วคราว</t>
  </si>
  <si>
    <t>ภาษีหน้าฎีกา</t>
  </si>
  <si>
    <t>ภาษีหักหน้าฎีกา</t>
  </si>
  <si>
    <t>รับคืนค่าใช้สอย (เบิกเกินส่งคืน)</t>
  </si>
  <si>
    <t>รับคืนค่าใช้สอย</t>
  </si>
  <si>
    <t>ทั่วไปDr</t>
  </si>
  <si>
    <t>ผ่าน2 Dr</t>
  </si>
  <si>
    <t>ค่าที่ดิน/สิ่งก่อสร้าง</t>
  </si>
  <si>
    <t>ผลต่างรายรับ-รายจ่าย</t>
  </si>
  <si>
    <t>รวมจ่ายงปม.</t>
  </si>
  <si>
    <t>รวมจ่ายฉก.</t>
  </si>
  <si>
    <t>ยอดตามงบรับจ่าย</t>
  </si>
  <si>
    <t>ผลต่าง</t>
  </si>
  <si>
    <t>(นางอังคนา  พริ้งกลาง)</t>
  </si>
  <si>
    <t>(นางกุลสิริ  เปรมกลาง)</t>
  </si>
  <si>
    <t>รายละเอียดดังนี้</t>
  </si>
  <si>
    <t>รับคืนลูกหนี้เงินขาดบัญชี</t>
  </si>
  <si>
    <t>เงินรับฝาก - เงินประกันสังคม</t>
  </si>
  <si>
    <t>เงินสมทบกองทุนประกันสังคม</t>
  </si>
  <si>
    <t>เงินหลักประกันสุขภาพ (สปสช.)</t>
  </si>
  <si>
    <t>ลำดับที่</t>
  </si>
  <si>
    <t>หมายเหตุ  3</t>
  </si>
  <si>
    <t>อำเภอโนนสูง จังหวัดนครราชสีมา</t>
  </si>
  <si>
    <t>บาท(เดือนที่แล้ว)</t>
  </si>
  <si>
    <t>เงินเกินบัญชี</t>
  </si>
  <si>
    <t>ยอดเดือนที่แล้ว</t>
  </si>
  <si>
    <t>จ่ายเงินสะสม</t>
  </si>
  <si>
    <t>เงินอุดหนุนทั่วไป - ระบุวัตถุประสงค์เพื่อพัฒนาประเทศ</t>
  </si>
  <si>
    <t>110202</t>
  </si>
  <si>
    <t>เงินเดือน (ฝ่ายการเมือง)</t>
  </si>
  <si>
    <t>เงินเดือน(ฝ่ายการเมือง)</t>
  </si>
  <si>
    <t>เงินเดือน(ฝ่ายประจำ)</t>
  </si>
  <si>
    <t>ค่าจ้างประจำ(ฝ่ายประจำ)</t>
  </si>
  <si>
    <t>ค่าจ้างชั่วคราว(ฝ่ายประจำ)</t>
  </si>
  <si>
    <t>140000</t>
  </si>
  <si>
    <t>400000</t>
  </si>
  <si>
    <t>310000</t>
  </si>
  <si>
    <t>532000</t>
  </si>
  <si>
    <t>411000</t>
  </si>
  <si>
    <t>412000</t>
  </si>
  <si>
    <t>413000</t>
  </si>
  <si>
    <t>415000</t>
  </si>
  <si>
    <t>416000</t>
  </si>
  <si>
    <t>531000</t>
  </si>
  <si>
    <t>561000</t>
  </si>
  <si>
    <t>541000</t>
  </si>
  <si>
    <t>542000</t>
  </si>
  <si>
    <t>551000</t>
  </si>
  <si>
    <t>120200</t>
  </si>
  <si>
    <t>510000</t>
  </si>
  <si>
    <t>รายจ่ายค้างจ่าย ประกอบงบทดลอง และรายรับ - จ่ายเงินสด</t>
  </si>
  <si>
    <t>เงินรับฝาก - เงินประกันสุขภาพ (สปสช.)</t>
  </si>
  <si>
    <t>ค่าจ้างชั่วคราวจ่ายจากเงินอุดหนุนทั่วไป-ระบุวัตถุประสงค์</t>
  </si>
  <si>
    <t>ค่าตอบแทนจ่ายจากเงินอุดหนุนทั่วไป-ระบุวัตถุประสงค์</t>
  </si>
  <si>
    <t>เงินเดือนจ่ายจากเงินอุดหนุนทั่วไป-ระบุวัตถุประสงค์</t>
  </si>
  <si>
    <t>ค่าจ้างประจำจ่ายจากเงินอุดหนุนทั่วไป-ระบุวัตถุประสงค์</t>
  </si>
  <si>
    <t>ค่าใช้สอยจ่ายจากเงินอุดหนุนทั่วไป-ระบุวัตถุประสงค์</t>
  </si>
  <si>
    <t>ค่าวัสดุจ่ายจากเงินอุดหนุนทั่วไป-ระบุวัตถุประสงค์</t>
  </si>
  <si>
    <t>เงินอุดหนุนทั่วไป - ระบุวัตถุประสงค์เงินเดือนบุคลากรถ่ายโอน</t>
  </si>
  <si>
    <t>เงินอุดหนุนทั่วไป - ระบุวัตถุประสงค์เงินบำนาญบุคลากรถ่ายโอน</t>
  </si>
  <si>
    <t>เงินอุดหนุนทั่วไป - ระบุวัตถุประสงค์เบี้ยยังชีพผู้สูงอายุ</t>
  </si>
  <si>
    <t>เงินอุดหนุนทั่วไป - ระบุวัตถุประสงค์เบี้ยยังชีพผู้พิการ</t>
  </si>
  <si>
    <t>เงินอุดหนุนทั่วไป - ระบุวัตถุประสงค์ประกันสังคม</t>
  </si>
  <si>
    <t>เงินอุดหนุนทั่วไป - ระบุวัตถุประสงค์ศูนย์พัฒน์เด็กเล็ก</t>
  </si>
  <si>
    <t>เงินอุดหนุนทั่วไป - ระบุวัตถุประสงค์เงินเดือนผู้ดูแลเด็ก</t>
  </si>
  <si>
    <t xml:space="preserve">งบกลางจ่ายจากเงินอุดหนุนทั่วไป-ระบุวัตถุประสงค์ </t>
  </si>
  <si>
    <t>จ่ายเงินอุดหนุนทั่วไป - ระบุวัตถุประสงค์</t>
  </si>
  <si>
    <t>เงินอุดหนุนทั่วไป - ระบุวัตถุประสงค์</t>
  </si>
  <si>
    <t>เงินหลักประกันซอง</t>
  </si>
  <si>
    <t>เงินฝากธนาคารออมสินโนนสูง  (224-2)</t>
  </si>
  <si>
    <t>เงินรับฝาก - เงินประกันซอง</t>
  </si>
  <si>
    <t>รับคืนค่าสาธารณูปโภค</t>
  </si>
  <si>
    <t>เงินรับฝาก - เงินสหกรณ์ออมทรัพย์พนักงานเทศบาล จำกัด</t>
  </si>
  <si>
    <t>เงินรับฝาก -  ค่าใช้จ่ายฉลองงานวันเด็กแห่งชาติ</t>
  </si>
  <si>
    <t>เบิกเกินส่งคืน - ค่าจ้างประจำ</t>
  </si>
  <si>
    <t>ค่าที่ดินและสิ่งก่อสร้างเงินอุดหนุนทั่วไป-ระบุวัตถุประสงค์(เพื่อพัฒนาประเทศ)</t>
  </si>
  <si>
    <t>เงินฝาก - กสท</t>
  </si>
  <si>
    <t>ลูกหนี้เงินยืมเงินรับฝาก</t>
  </si>
  <si>
    <t>จ่ายเงินอุดหนุนทั่วไป - ระบุวัตถุประสงค์(ตามยุทธศาสตร์)</t>
  </si>
  <si>
    <t>ค่าที่ดินและสิ่งก่อสร้างเงินอุดหนุนทั่วไป-ระบุวัตถุประสงค์(ตามยุทธศาสตร์)</t>
  </si>
  <si>
    <t>เงินรับฝาก - เงินหลักประกันสุขภาพ สปสช.</t>
  </si>
  <si>
    <t>215006</t>
  </si>
  <si>
    <t>215007</t>
  </si>
  <si>
    <t>111201-1</t>
  </si>
  <si>
    <t>111100</t>
  </si>
  <si>
    <t>111203</t>
  </si>
  <si>
    <t>111201</t>
  </si>
  <si>
    <t>111202</t>
  </si>
  <si>
    <t>111201-2</t>
  </si>
  <si>
    <t>215004</t>
  </si>
  <si>
    <t>215999</t>
  </si>
  <si>
    <t>113100</t>
  </si>
  <si>
    <t>เงินรายรับ(คืนเงินค่าขายแบบ))</t>
  </si>
  <si>
    <t>รายได้จากรัฐบาลค้างรับ</t>
  </si>
  <si>
    <t>113200</t>
  </si>
  <si>
    <t>เงินอุดหนุนทั่วไป - ระบุวัตถุประสงค์ค่าเช่าบ้านครู</t>
  </si>
  <si>
    <t>เงินอุดหนุนทั่วไป - โครงการป้องกันยาเสพติด</t>
  </si>
  <si>
    <t>511000</t>
  </si>
  <si>
    <t>421000</t>
  </si>
  <si>
    <t>431000</t>
  </si>
  <si>
    <t>113700</t>
  </si>
  <si>
    <t>441000</t>
  </si>
  <si>
    <t>121000</t>
  </si>
  <si>
    <t>521000</t>
  </si>
  <si>
    <t>534000</t>
  </si>
  <si>
    <t>533000</t>
  </si>
  <si>
    <t>211000</t>
  </si>
  <si>
    <t>215000</t>
  </si>
  <si>
    <t>เห็นควรให้ปรับปรุงรายการข้างต้น</t>
  </si>
  <si>
    <t>ลงชื่อ .................................................... ผู้จัดทำ</t>
  </si>
  <si>
    <t>ลงชื่อ ............................................. ผู้อนุมัติ</t>
  </si>
  <si>
    <t>ลงชื่อ ............................................. ผู้ตรวจสอบ</t>
  </si>
  <si>
    <t>เงินอุดหนุนระบุ</t>
  </si>
  <si>
    <t>วัตถุประสงค์/</t>
  </si>
  <si>
    <t>เฉพาะกิจ (บาท)</t>
  </si>
  <si>
    <t>ที่เกิดขึ้นจริง</t>
  </si>
  <si>
    <t>(บาท)</t>
  </si>
  <si>
    <r>
      <t>รายรับ</t>
    </r>
    <r>
      <rPr>
        <sz val="13"/>
        <rFont val="TH SarabunPSK"/>
        <family val="2"/>
      </rPr>
      <t xml:space="preserve"> ( หมายเหตุ 1 )</t>
    </r>
  </si>
  <si>
    <t>สูงกว่า</t>
  </si>
  <si>
    <t>(ต่ำกว่า)</t>
  </si>
  <si>
    <t>522000</t>
  </si>
  <si>
    <t xml:space="preserve">             ยอดยกไป</t>
  </si>
  <si>
    <t>522000-1</t>
  </si>
  <si>
    <t>531000-1</t>
  </si>
  <si>
    <t>เงินอุดหนุนทั่วไป - ระบุวัตถุประสงค์คชจ.ในการจัดการศึกษาตั้งแต่ระดับอนุบาลฯ</t>
  </si>
  <si>
    <t>441002</t>
  </si>
  <si>
    <t>511000-1</t>
  </si>
  <si>
    <t>หมายเหตุ 4</t>
  </si>
  <si>
    <t>รายละเอียดประกอบงบทดลองและรายงานรับ-จ่ายเงินอุดหนุนเฉพาะกิจ</t>
  </si>
  <si>
    <t>รวมรับเงินอุดหนุนเฉพาะกิจ</t>
  </si>
  <si>
    <t>พ.ย. 58</t>
  </si>
  <si>
    <t>ธ.ค. 58</t>
  </si>
  <si>
    <t>เบิกจ่ายทั้งสิ้น</t>
  </si>
  <si>
    <t>สนับสนุนการบริหารจัดการของอปท.ตามยุทธศาสตร์</t>
  </si>
  <si>
    <t>ค่าเช่าบ้านพักพนักงานครู</t>
  </si>
  <si>
    <t>เงินบำนาญบุคลากรถ่ายโอน</t>
  </si>
  <si>
    <t>เงินเดือนบุคลากรถ่ายโอน</t>
  </si>
  <si>
    <t>เงินช่วยเหลือการศึกษาบุตร</t>
  </si>
  <si>
    <t>เบี้ยยังชีพผู้สูงอายุ</t>
  </si>
  <si>
    <t>เบี้ยยังชีพผู้พิการ</t>
  </si>
  <si>
    <t>เงินประกันสังคม</t>
  </si>
  <si>
    <t>เงินเดือนผู้ดูแลเด็ก</t>
  </si>
  <si>
    <t>เงินสนับสนุนทุนการศึกษา(ศูนย์พัฒนา)</t>
  </si>
  <si>
    <t>โครงการป้องกันยาเสพติด</t>
  </si>
  <si>
    <t>สนับสนุนครุภัณฑ์ศูนย์เด็กเล็ก</t>
  </si>
  <si>
    <t xml:space="preserve">                    - 2 -  </t>
  </si>
  <si>
    <t xml:space="preserve">                                                                                เทศบาลตำบลตลาดแค</t>
  </si>
  <si>
    <t xml:space="preserve">                                                                                รายงาน   รับ - จ่ายเงิน</t>
  </si>
  <si>
    <t>รับคืน</t>
  </si>
  <si>
    <t>ค่าที่ดินและสิ่งก่อสร้างเงินอุดหนุนทั่วไป-ระบุวัตถุประสงค์/อุดหนุนเฉพาะกิจ</t>
  </si>
  <si>
    <t>เงินอุดหนุนเฉพาะกิจ-สนับสนุนอาคารเรียน(อาคารเรียน 4 ช้น 12 ห้อง)</t>
  </si>
  <si>
    <t>เงินอุดหนุนเฉพาะกิจ-สำหรับพัฒนา อปท.(ทางไปบ่อขยะ)</t>
  </si>
  <si>
    <t>เงินอุดหนุนทั่วไป - ระบุวัตถุประสงค์ค่าเงินช่วยเหลือการศึกษาบุตร</t>
  </si>
  <si>
    <t>ลูกหนี้-จีเอ็ม ไอทีโซลูชั่น</t>
  </si>
  <si>
    <t>เงินโครงการป้องกันยาเสพติด</t>
  </si>
  <si>
    <t>เงินรับฝาก - รอคืนจังหวัด</t>
  </si>
  <si>
    <t>ลูกหนี้เงินสะสม</t>
  </si>
  <si>
    <t>เจ้าหนี้เงินสะสม</t>
  </si>
  <si>
    <t>รายจ่ายค้างจ่าย(เงินอุดหนุนเฉพาะกิจ</t>
  </si>
  <si>
    <t>รายจ่ายค้างจ่ายเงินเพื่อพัฒนาประเทศ</t>
  </si>
  <si>
    <t>ประจำเดือนตุลาคม 2558</t>
  </si>
  <si>
    <t>ยกมาปี 58</t>
  </si>
  <si>
    <t>โอน ต.ค.58</t>
  </si>
  <si>
    <t>โอนพ.ย.58</t>
  </si>
  <si>
    <t>โอน ธ.ค.58</t>
  </si>
  <si>
    <t>โอน ม.ค. 59</t>
  </si>
  <si>
    <t>เงินอุดหนุนทั่วไป - ระบุวัตถุประสงค์เงินสมทบกองทุนประกันสังคม</t>
  </si>
  <si>
    <t>113600</t>
  </si>
  <si>
    <t>ลูกหนี้อื่น ๆ</t>
  </si>
  <si>
    <t>เงินรับฝาก - ประกันสัญญาเช่าทรัพย์สิน(ตลาด)</t>
  </si>
  <si>
    <t>เงินรับฝาก - ประกันสัญญา</t>
  </si>
  <si>
    <t>ประกันสัญญา</t>
  </si>
  <si>
    <t>เงินสนับสนุนศูนย์พัฒนาเด็กเล็ก(ค่าจัดการเรียนการสอน)</t>
  </si>
  <si>
    <t>งบกระทบยอดเงินฝากธนาคาร</t>
  </si>
  <si>
    <t>ลูกหนี้เงินยืมเงินอุดหนุนทั่วไประบุวัตถุประสงค์</t>
  </si>
  <si>
    <t>215001</t>
  </si>
  <si>
    <t>113800</t>
  </si>
  <si>
    <t>เงินอุดหนุนทั่วไป - ระบุวัตถุประสงค์ส่เงินทุนสำหรับการศึกษา (ผดด.)</t>
  </si>
  <si>
    <t>เงินอุดหนุนทั่วไป - ระบุวัตถุประสงค์เงินทุนการศึกษาสำหรับผู้ดูแลเด็ก</t>
  </si>
  <si>
    <t>โอน ก.พ. 59</t>
  </si>
  <si>
    <t>โอน มี.ค. 59</t>
  </si>
  <si>
    <t>โอน เม.ย.59</t>
  </si>
  <si>
    <t>โอนพ.ค.59</t>
  </si>
  <si>
    <t>โอนมิ.ย.59</t>
  </si>
  <si>
    <t>โอนก.ค.59</t>
  </si>
  <si>
    <t>โอนส.ค.59</t>
  </si>
  <si>
    <t>โอนก.ย.59</t>
  </si>
  <si>
    <t>ม.ค. 59</t>
  </si>
  <si>
    <t>ก.พ. 59</t>
  </si>
  <si>
    <t>มี.ค. 59</t>
  </si>
  <si>
    <t>เม.ย. 59</t>
  </si>
  <si>
    <t>พ.ค. 59</t>
  </si>
  <si>
    <t>มิ.ย. 59</t>
  </si>
  <si>
    <t xml:space="preserve"> ก.ค. 59</t>
  </si>
  <si>
    <t xml:space="preserve"> ส.ค. 59</t>
  </si>
  <si>
    <t>ก.ย.593</t>
  </si>
  <si>
    <t>ใบผ่านรายการบัญชีมาตรฐาน (1)</t>
  </si>
  <si>
    <t xml:space="preserve">เงินรับฝาก  -เงินประกันสัญญา </t>
  </si>
  <si>
    <t>215009</t>
  </si>
  <si>
    <t>เงินรับฝาก  -เงินประกันสัญญาเช่าทรัพย์สิน (ตลาด)</t>
  </si>
  <si>
    <t>เบิกเกินส่งคืน - ค่าใช้จ่ายในการเดินทางไปราชการ</t>
  </si>
  <si>
    <t>412210</t>
  </si>
  <si>
    <t>รับคืนลูกหนี้เงินยืมเงินอุดหนุนทั่วไประบุว้ตถุประสงค์</t>
  </si>
  <si>
    <t>ลูกหนี้เงินยืมเงิน</t>
  </si>
  <si>
    <t>ลูกหนี้เงินยืม</t>
  </si>
  <si>
    <t>เบิกเกินส่งคืน - เงินสะสม</t>
  </si>
  <si>
    <t>เบิกเกินส่งคืน - เงินเดือน</t>
  </si>
  <si>
    <t>215014</t>
  </si>
  <si>
    <t>เงินรับฝาก -รอคืนจังหวัด</t>
  </si>
  <si>
    <t>เงินรับฝาก - เงินค่าตอบแทนตัวแทนสหกรณ์เทศบาล จำกัด</t>
  </si>
  <si>
    <t>รายได้ค่าปรับ</t>
  </si>
  <si>
    <t>ปรับปรุงบัญชีรายรับ</t>
  </si>
  <si>
    <t>เงินอุดหนุนเฉพาะกิจ-ก่อสร้างอาคารศูนย์เด็กเล็ก</t>
  </si>
  <si>
    <t>รายจ่ายค้างจ่าย(เงินอุดหนุนเฉพาะกิจ)</t>
  </si>
  <si>
    <t>ค่าก่อสร้างศูนย์เด็กเล็ก (เงินอุดหนุนเฉพาะกิจ)</t>
  </si>
  <si>
    <t>เจ้าหนี้เงินกู้-ก.ส.ท.</t>
  </si>
  <si>
    <t>220103</t>
  </si>
  <si>
    <t>112300</t>
  </si>
  <si>
    <t>ทรัพย์สินเกิดจากเงินกู้(รถกระเช้า)</t>
  </si>
  <si>
    <t>รายจ่ายทรัยพ์สินที่เกิดจากเงินกู้</t>
  </si>
  <si>
    <t>ตำแหน่ง เจ้าพนักงานการเงินและบัญชีชำนาญงาน</t>
  </si>
  <si>
    <t xml:space="preserve">        ตำแหน่ง เจ้าพนักงานการเงินและบัญชีชำนาญงาน</t>
  </si>
  <si>
    <r>
      <t>กองคลัง</t>
    </r>
    <r>
      <rPr>
        <sz val="16"/>
        <rFont val="TH SarabunPSK"/>
        <family val="2"/>
      </rPr>
      <t xml:space="preserve">  (งานการเงินและบัญชี)</t>
    </r>
  </si>
  <si>
    <r>
      <t xml:space="preserve">กองคลัง </t>
    </r>
    <r>
      <rPr>
        <sz val="16"/>
        <rFont val="TH SarabunPSK"/>
        <family val="2"/>
      </rPr>
      <t>(งานการเงินและบัญชี)</t>
    </r>
  </si>
  <si>
    <r>
      <t xml:space="preserve">ประเภท     </t>
    </r>
    <r>
      <rPr>
        <b/>
        <sz val="16"/>
        <rFont val="TH SarabunPSK"/>
        <family val="2"/>
      </rPr>
      <t xml:space="preserve"> ออมทรัพย์</t>
    </r>
  </si>
  <si>
    <r>
      <t xml:space="preserve">เลขที่บัญชี    </t>
    </r>
    <r>
      <rPr>
        <b/>
        <sz val="16"/>
        <rFont val="TH SarabunPSK"/>
        <family val="2"/>
      </rPr>
      <t>341-0-29270-5</t>
    </r>
  </si>
  <si>
    <r>
      <t>รายละเอียด</t>
    </r>
    <r>
      <rPr>
        <b/>
        <sz val="16"/>
        <rFont val="TH SarabunPSK"/>
        <family val="2"/>
      </rPr>
      <t xml:space="preserve">   </t>
    </r>
  </si>
  <si>
    <r>
      <t>หัก</t>
    </r>
    <r>
      <rPr>
        <sz val="16"/>
        <rFont val="TH SarabunPSK"/>
        <family val="2"/>
      </rPr>
      <t xml:space="preserve">  </t>
    </r>
  </si>
  <si>
    <r>
      <t>บวก</t>
    </r>
    <r>
      <rPr>
        <sz val="16"/>
        <rFont val="TH SarabunPSK"/>
        <family val="2"/>
      </rPr>
      <t>:</t>
    </r>
  </si>
  <si>
    <r>
      <t xml:space="preserve">ประเภท     </t>
    </r>
    <r>
      <rPr>
        <b/>
        <sz val="16"/>
        <rFont val="TH SarabunPSK"/>
        <family val="2"/>
      </rPr>
      <t xml:space="preserve"> </t>
    </r>
  </si>
  <si>
    <r>
      <t xml:space="preserve">เลขที่บัญชี    </t>
    </r>
    <r>
      <rPr>
        <b/>
        <sz val="16"/>
        <rFont val="TH SarabunPSK"/>
        <family val="2"/>
      </rPr>
      <t>341-6-00461-2</t>
    </r>
  </si>
  <si>
    <t>เงินอุดหนุนทั่วไป-ระบุวัตถุกำหนดวัตถุประสงค์(เบี้ยยังชีพผู้สูงอายุ)</t>
  </si>
  <si>
    <t>เงินอุดหนุนทั่วไป-ระบุวัตถุกำหนดวัตถุประสงค์(เบี้ยยังชีพพิการ)</t>
  </si>
  <si>
    <t>เงินรับฝาก -เงินช่วยเหลือ</t>
  </si>
  <si>
    <t>เงินรับฝากรอคืนจังหวัด</t>
  </si>
  <si>
    <t>230108</t>
  </si>
  <si>
    <t>เงินอุดหนุนทั่วไป-ระบุวัตถุประสงค์ค่าจัดการเรียนการสอน</t>
  </si>
  <si>
    <t>415999</t>
  </si>
  <si>
    <t>เงินรับฝาก - เงินภาษีหัก ณ ที่จ่าย</t>
  </si>
  <si>
    <t>เงินค่าดำเนินการปรับสภาพแวดล้อมคนพิการ</t>
  </si>
  <si>
    <t>นายกเทศมนตรีตำบลตลาดแค</t>
  </si>
  <si>
    <t>(นายชัยรัตน์  กิตติหิรัญวัฒน์)</t>
  </si>
  <si>
    <t>..........................................</t>
  </si>
  <si>
    <t>ภาษีธุรกิจเฉพาะ</t>
  </si>
  <si>
    <t>ภาษีมูลค่าเพิ่มตาม พรบ.กำหนดแผนและขั้นตอน</t>
  </si>
  <si>
    <t>ประจำเดือน ก.ค.59</t>
  </si>
  <si>
    <t xml:space="preserve">   (นางสุพรรณิการ์  กอบเขตกรรม)</t>
  </si>
  <si>
    <t xml:space="preserve"> ตำแหน่ง ผู้อำนวยการกองคลัง</t>
  </si>
  <si>
    <t>ค่าธรรมเนียมจดทะเบียนสิทธิและนิติกรรมฯ</t>
  </si>
  <si>
    <t>.</t>
  </si>
  <si>
    <t>เงินรับฝาก - โครงการปรับสภาพแวดล้อมคนพิการ</t>
  </si>
  <si>
    <t>เงินอุดหนุนทั่วไป-ระบุวัตถุประสงค์โครงการปรับเปลี่ยนพฤติกรรมฯ</t>
  </si>
  <si>
    <t>190004</t>
  </si>
  <si>
    <t>290001</t>
  </si>
  <si>
    <t>ปรับปรุงบัญชีลูกหนี้เงินสะสมและเจ้าหนี้เงินสะสม จำนวน 1 ฎีกา รับเงินจัดสรร</t>
  </si>
  <si>
    <t>เงินอุดหนุนทั่วไปกำหนดวัตถุประสงค์-ค่าตอบแทน</t>
  </si>
  <si>
    <t>เงินภาษีและค่าธรรมเนียมรถยนต์</t>
  </si>
  <si>
    <t>งวดเดือน พ.ค.59 FGMIS งวดที่ 8</t>
  </si>
  <si>
    <t>ค่าธรรมเนียมจดทะเบียนสิทธิ์และนิติกรรมฯ</t>
  </si>
  <si>
    <t>ภาษีมูลค่าเพิ่ม 1 ใน 9</t>
  </si>
  <si>
    <t>ภาษีสุรา</t>
  </si>
  <si>
    <t>ภาษีสรรพสามิต</t>
  </si>
  <si>
    <t>ภาษีธุรกินเฉพาะ</t>
  </si>
  <si>
    <t xml:space="preserve">    วันที่  23   เดือน กันยายน พ.ศ. 2559</t>
  </si>
  <si>
    <t>ส่งใช้เงินยืมงบประมาณของนางสาวอานุวัน  พิมพิชัย จำนวน 1 ฏีกา</t>
  </si>
  <si>
    <t>ส่งใช้เงินยืมฎีกาที่ 977/59 เพื่อจ่ายดำเนินโครง</t>
  </si>
  <si>
    <t>การพัฒนาศักยภาพบุคลากรของเทศบาล</t>
  </si>
  <si>
    <t xml:space="preserve">ประจำปีงบประมาณ 2559 </t>
  </si>
  <si>
    <t>ส่งใช้เงินยืมฎีกาที่ 978/59 เพื่อจ่ายดำเนินโครง</t>
  </si>
  <si>
    <t>การฝึกอบรมเพิ่มประสิทธิภาพผู้บริหารท้องถิ่นและ</t>
  </si>
  <si>
    <t>สมาชิกสภาท้องถิ่น ประจำปีงบประมาณ 2559</t>
  </si>
  <si>
    <t>เลขที่  103/2559</t>
  </si>
  <si>
    <t>เลขที่  104/2559</t>
  </si>
  <si>
    <t>เลขที่  105/2559</t>
  </si>
  <si>
    <t xml:space="preserve">    วันที่  30   เดือน กันยายน พ.ศ. 2559</t>
  </si>
  <si>
    <t>ค่าภาคหลวงแร่ งวดที่ 2/2559</t>
  </si>
  <si>
    <t>เงินอุดหนุนทั่วไป-เงินอุดหนุนสำหรับการจัดการ</t>
  </si>
  <si>
    <t>ศึกษาภาคบังคับค่าเช่าบ้าน</t>
  </si>
  <si>
    <t>เงินภาษีและค่าธรรมเนียมรถยนต์ ประจำเดือน</t>
  </si>
  <si>
    <t>สิงหาค 2559</t>
  </si>
  <si>
    <t>เงินอุดหนุนทั่วไป-ส่งเสริมศักยภาพการจัดการ</t>
  </si>
  <si>
    <t>ศึกษาของท้องถิ่นไตรมาสที่ 4</t>
  </si>
  <si>
    <t>เลขที่  106/2559</t>
  </si>
  <si>
    <t>ภาษีมูลค่าเพิ่มูลค่าเพิ่มตาม พ.ร.บ. กำหนดแผน</t>
  </si>
  <si>
    <t>และขั้นตอนการกระจายอำนาจ เดือน มิ.ย.59</t>
  </si>
  <si>
    <t>ประจำเดือน สิงหาคม 2559</t>
  </si>
  <si>
    <t>เลขที่  107/2559</t>
  </si>
  <si>
    <t>ค่าใบอนุญาตขายสุรา</t>
  </si>
  <si>
    <t>เลขที่  108/2559</t>
  </si>
  <si>
    <t>ส่งใช้เงินยืมงบประมาณของนายบุญส่ง  กาดกลาง จำนวน 1 ฏีกา</t>
  </si>
  <si>
    <t>ส่งใช้เงินยืมฎีกาที่ 1075/59 เพื่อจ่ายเงินทำ</t>
  </si>
  <si>
    <t>ประกันภัยรถยนต์</t>
  </si>
  <si>
    <t xml:space="preserve">    วันที่  30 เดือน กันยายน พ.ศ. 2559</t>
  </si>
  <si>
    <t>ปรับปรุงบัญชีรายได้เบ็ดเตล็ดจากร้านปะการัง</t>
  </si>
  <si>
    <t>เลขที่  110/2559</t>
  </si>
  <si>
    <t xml:space="preserve">    วันที่  30  เดือน กันยายน พ.ศ. 2559</t>
  </si>
  <si>
    <t>จ่ายเงินค่าตอบแทนผู้ดูแลเด็ก ประจำเดือน ก.ย.59</t>
  </si>
  <si>
    <t>เลขที่  111/2559</t>
  </si>
  <si>
    <t>40000</t>
  </si>
  <si>
    <t>ผู้ดูแลเด็ก</t>
  </si>
  <si>
    <t>เงินอุดหนุนทั่วไปกำหนดวัตถุประสงค์-ประกันสังคม</t>
  </si>
  <si>
    <t>เลขที่  112/2559</t>
  </si>
  <si>
    <t>ปรับปรุงบัญชีรายรับเข้าเป็นรายได้จากรัฐบาลค้างรับ</t>
  </si>
  <si>
    <t>โอนบัญชีรายจ่ายค้างจ่ายเข้าบัญชีเงินสะสม</t>
  </si>
  <si>
    <t>เลขที่  113/2559</t>
  </si>
  <si>
    <t>เลขที่  114/2559</t>
  </si>
  <si>
    <t>จำนวนโครงการ</t>
  </si>
  <si>
    <t>กรณีหนี้ผูกพัน</t>
  </si>
  <si>
    <t>กรณีหนี้ไม่ผูกพัน</t>
  </si>
  <si>
    <t>โบนัส</t>
  </si>
  <si>
    <t>เลขที่  115/2559</t>
  </si>
  <si>
    <t>เจ้าหนี้เงินกู้-สำนักงานเงินทุนส่งเสริมกิจการเทศบาล</t>
  </si>
  <si>
    <t>220102</t>
  </si>
  <si>
    <t>ปรับปรุงบัญชีรายจ่ายค้างจ่ายประจำปีงบประมาณ พ.ศ. 2558 สำหรับโครงการที่ได้รับอนุมัติให้กัน</t>
  </si>
  <si>
    <t>เงินไว้เบิกตัดปีรายละเอียด ดังนี้</t>
  </si>
  <si>
    <t>221102</t>
  </si>
  <si>
    <t xml:space="preserve">สำนักงานเงินทุนส่งเสริมกิจการเทศบาล เข้าบัญชีเงินสะสม ตามฎีกาที่ 10702/59 </t>
  </si>
  <si>
    <t>ปรับปรุงการชำระหนี้เงินกู้ เงินต้นจำนวนเงิน 286,416.35 บาท โดยลดยอดบัญชีเจ้าหนี้เงินกู้</t>
  </si>
  <si>
    <t>ปรับปรุงการชำระหนี้เงินกู้ เงินต้นงวดที่ จำนวนเงิน 152,667 บาท โดยลดยอดบัญชีเจ้าหนี้เงินกู้</t>
  </si>
  <si>
    <t xml:space="preserve">สำนักงานเงินกองทุนเมืองฯ เข้าบัญชีเงินสะสม ตามฎีกาที่ 683/59 </t>
  </si>
  <si>
    <t>เลขที่  116/2559</t>
  </si>
  <si>
    <t>เลขที่  117/2559</t>
  </si>
  <si>
    <t>เงินอุดนุนทั่วไปกำหนดวัตถุประสงค์-เงินช่วยเหลือการศึกษาบุตร</t>
  </si>
  <si>
    <t>เงินอุดนุนทั่วไปกำหนดวัตถุประสงค์-เบี้ยยังชีพผู้สูงอายุ</t>
  </si>
  <si>
    <t>เงินอุดหนุนทั่วไปกำหนดวัตถุประสงค์-เบี้ยยังชีพผู้พิการ</t>
  </si>
  <si>
    <t>499999</t>
  </si>
  <si>
    <t>ปรับปรุงบัญชีเงินรายรับ</t>
  </si>
  <si>
    <t>เงินรับฝากรอคืนจังหวัด-เงินช่วยเหลือบุตร</t>
  </si>
  <si>
    <t>เงินรับฝากรอคืนจังหวัด-เบี้ยยังชีพผู้สูงอายุ</t>
  </si>
  <si>
    <t>เงินรับฝากรอคืนจังหวัด-เบี้ยยังชีพผู้พิการ</t>
  </si>
  <si>
    <t>บันทึกบัญชีเงินรับฝากรอส่งคืนจังหวัด</t>
  </si>
  <si>
    <t>จ่ายเงินค่าตอบแทนผู้ดูแลเด็ก ประจำเดือน ก.ย.59 จำนวนเงิน 10,500 บาท</t>
  </si>
  <si>
    <t>โครงการจัดซื้ออาหารเสริม(นม) ตามสัญญาซื้อขาย เลขที่ CNTR 0042/2559 ลงวันที่ 22 มิถุนายน 2559  จากสหกรณ์โคนมวังน้ำเย็น</t>
  </si>
  <si>
    <t>โครงการปรับปรุงซอมแซมอาคารบ้านพักคนชราเทศบาลตำบลตลาดแค สัญญาจ้างเลขที่ CNTR 0053/59 ลงวันที่ 14 กันยายน 2559</t>
  </si>
  <si>
    <t>โครงการวางท่อระบายน้ำ คสล.ถนนเทศบาลซอย 9/2 ชุมชนโนนพิมาน หมู่ 12 (ช่วงบ้านนายคูณ - บ้านนายต่วน)</t>
  </si>
  <si>
    <t>โครงการก่อสร้างถนนดิน ถ.เทศบาล ซอย 12 หลังโรงเรียนธารปราสาทเพชรวิทยาชุมชนสำโรงตะวันตก หมู่ 1</t>
  </si>
  <si>
    <t>โครงการปรับปรุงซ่อมแซมและขยายท่อเมนประปาเทศบาลตำบลตลาดแค</t>
  </si>
  <si>
    <t>ปรับปรุงไหล่ทางถนนมิตรภาพบริเวณหน้าห้องแถว ชุมชนโนนพิมาน หมู่ 12</t>
  </si>
  <si>
    <t>ปรับปรุงไหล่ทางถนนมิตรภาพจากหินคลุกเป็นแอสฟัลท์ติกคอนกรีต ชุมชนโนนหนามแดง หมู่ 12</t>
  </si>
  <si>
    <t>ปรับปรุง/ซ่อมแซม ระบบระบายน้ำ ถนนเทศบาลซอย 9/2 (ครูวงเดือน) ชุมชนโนนพิมาน หมู่ 12</t>
  </si>
  <si>
    <t>วางท่อระบายน้ำ คสล.ถนนเทศบาล ซอย 1 ชุมชนโนนพิมาน หมู่ 12</t>
  </si>
  <si>
    <t>ก่อสร้างถนน คสล. ถนนเทศบาลซอย 13/2 (จากบ้านนายปลื้ม  พิมปรุ-ลำธารปราสาท) ชุมชนตะบบที่ 4</t>
  </si>
  <si>
    <t>โครงการปรับปรุงตลาดไนท์เทศบาลตำบลตลาดแค (กองสาธารณสุขและสิ่งแวดล้อม)</t>
  </si>
  <si>
    <t>โครงการปรับปรุงห้องเก็บของเป็นห้องครัว (สำนักปลัด)</t>
  </si>
  <si>
    <t>ครุภัณฑ์คอมพิวเตอร์ เครื่องคอมพิวเตอร์สำหรับประมวลผล จำนวน 1 ชุด</t>
  </si>
  <si>
    <t>ไม้สต๊าฟอลูมิเนียม แบบชัดขนาด 3 เมตร จำนวน 1 อัน</t>
  </si>
  <si>
    <t>ล้อวัดระยะทาง วัดไกล 10 กม. อ่านรายละเอียด 10 ซม. จำนวน 1 อัน</t>
  </si>
  <si>
    <t>ครุภัณฑ์คอมพิวเตอร์ เครื่องสำรองไฟฟ้า จำนวน 1 เครื่อง</t>
  </si>
  <si>
    <t>ครุภัณฑ์คอมพิวเตอร์ เครื่องพิมพ์ Multifunction จำนวน 1 เครื่อง หมึก inkjet จำนวน 1 เครื่อง</t>
  </si>
  <si>
    <t>วิทยุสื่อสารประจำห้องวิทยุสื่อสาร จำนวน 1 เครื่อง</t>
  </si>
  <si>
    <t>ถังน้ำแข็งไม่ต่ำกว่า 450 ลิตร จำนวน 1 ถัง</t>
  </si>
  <si>
    <t>ตู้เหล็ก มอก. ขนาด 2 บานเปิด จำนวน 1 หลัง</t>
  </si>
  <si>
    <t>เครื่องเสียงเพื่อใช้ในการปฏิบัติงาน จำนวน 1 ชุด</t>
  </si>
  <si>
    <t>ค่าตอบแทนอื่นเป็นกรณีพิเศษ (โบนัส)</t>
  </si>
  <si>
    <t>ปรับปรุง/ซ่อมแซมถนนผิวทางแอสฟัลท์ติกคอนกรีต ถนน เทศบาลซอย 4 ชุมชนสำโรงตะวันออก หมู่ 1</t>
  </si>
  <si>
    <t>441001</t>
  </si>
  <si>
    <t>เลขที่  118/2559</t>
  </si>
  <si>
    <t>เลขที่  119/2559</t>
  </si>
  <si>
    <t>เลขที่  109/2559</t>
  </si>
  <si>
    <t xml:space="preserve">                       ตำแหน่ง       ผู้อำนวยการกองคลัง</t>
  </si>
  <si>
    <t>เลขที่  120/2559</t>
  </si>
  <si>
    <t>ภาษีบำรุงท้องที่</t>
  </si>
  <si>
    <t>ภาษีป้าย</t>
  </si>
  <si>
    <t>ค่าธรรมเนียเก็บและขนมูลฝอย</t>
  </si>
  <si>
    <t>ค่าธรรมเนียมเกี่ยวกับการควบคุมอาคาร</t>
  </si>
  <si>
    <t>ค่าธรรมเนียเกี่ยวกับงานทะเบียนราษฎร์</t>
  </si>
  <si>
    <t>ค่าธรรมเนียมจดทะเบียนพาณิชย์</t>
  </si>
  <si>
    <t>ค่าปรับผู้กระทำผิดกฎหมายจราจรทางบก</t>
  </si>
  <si>
    <t>ค่าปรับผู้กระทำผิดกฎหายสาธาณสุข (รวมใบอนุญาต)</t>
  </si>
  <si>
    <t>ค่าใบอนุญาตจำหน่ายสินค้าในที่หรือทางสาธารณะ</t>
  </si>
  <si>
    <t>ค่าใบอนุญาตเกี่ยวกับการควบคุมอาคาร</t>
  </si>
  <si>
    <t>ค่าใบอนุญาตประกอบการค้าสำหรับกิจการที่เป็นอันตรายต่อสุขภาพ</t>
  </si>
  <si>
    <t>ค่าใบอนุญาติจัดตั้งสถานที่จำหน่ายหรือสถานที่สะสมอาหารในอาคาร</t>
  </si>
  <si>
    <t>ค่าใบอนุญาตเกี่ยวกับการโฆษณาโดยใช้เครื่องขยายเสียง</t>
  </si>
  <si>
    <t>ค่าใบอนุญาตให้เป็นบุคคลรับจ้างตัดแต่งผม</t>
  </si>
  <si>
    <t>ค่าปรับการผิดสัญญา</t>
  </si>
  <si>
    <t>ใบอนุญาตควบคุมน้ำมันเชื้อเพลิง</t>
  </si>
  <si>
    <t>ค่าธรรมเนียเกี่ยวกับใบอนุญาตขายสุรา</t>
  </si>
  <si>
    <t>ค่าธรรมเนียเก็บขนอุจจาระและสิ่งปฏิกูล</t>
  </si>
  <si>
    <t>ค่าเช่าตลาดหรือค่าบริการสถานที่</t>
  </si>
  <si>
    <t>ดอกเบี้ยธนาคาร /ดอกเบี้ย กสท.</t>
  </si>
  <si>
    <t>ค่าขายแบบแปลน</t>
  </si>
  <si>
    <t>ค่าจำหน่ายแบบพิมพ์และคำร้อง</t>
  </si>
  <si>
    <t>รายได้เบ็ดเตล็ดอื่น ๆ</t>
  </si>
  <si>
    <t>ภาษีมูลค่าเพิ่ม ตาม พรบ.กำหนดแผนและขั้นตอนการกระจายอำนาจ</t>
  </si>
  <si>
    <t>ค่าภาคหลวงแร่</t>
  </si>
  <si>
    <t>ค่าภาคหลวงปิโตรเลี่ยม</t>
  </si>
  <si>
    <t>ค่าธรรเนียมจดทะเบียนสิทธิและนิติกรรมที่ดิน</t>
  </si>
  <si>
    <t>เงินอุดหนุนเฉพาะกิจ</t>
  </si>
  <si>
    <t>ภาษีโรงเรือนและที่ดิน</t>
  </si>
  <si>
    <t>411001</t>
  </si>
  <si>
    <t>411002</t>
  </si>
  <si>
    <t>411003</t>
  </si>
  <si>
    <t>ค่าใบอนุญาตให้บุคคลใช้สถานที่ตัดแต่งผม</t>
  </si>
  <si>
    <t>ค่าธรรมเนียมตลาด</t>
  </si>
  <si>
    <t>เงินเดือน (ฝ่ายประจำ)</t>
  </si>
  <si>
    <t>ค่าใช่สอย</t>
  </si>
  <si>
    <t>โอนปิดบัญชีรายรับ ประจำปีงบประมาณ พ.ศ. 2559 เข้าบัญชีเงินสะสมร้อยละ 75 และ เข้าบัญชีเงินทุนสะรองสะสมร้อยละ 25</t>
  </si>
  <si>
    <t>โอนปิดบัญชีรายจ่ายต่าง ๆ ประจำปีงบประมาณ พ.ศ. 2559 เข้าบัญชีเงินสะสมร้อยละ 75 และ บัญชีเงินทุนสำรองสะสมร้อยละ 25</t>
  </si>
  <si>
    <t>เลขที่  121/2559</t>
  </si>
  <si>
    <t>เงินทุนสำรองสะสม</t>
  </si>
  <si>
    <t>เงินอุดหนุนทั่วไป(เพื่อสนับสนุนการกระจายอำนาจให้แก่ อปท.)</t>
  </si>
  <si>
    <t>เงินอุดหนุนทั่วไป(โครงการพัฒนาการจัดการศึกษาโดยใช้โรงเรียนเป็นฐาน)</t>
  </si>
  <si>
    <t>เงินอุดหนุนทั่วไประบุวัตถุประสงค์ - ค่าเช่าบ้านครู</t>
  </si>
  <si>
    <t>เงินอุดหนุนทั่วไประบุวัตถุประสงค์ - เงินเดือนบุคลากรถ่ายโอน</t>
  </si>
  <si>
    <t>เงินอุดหนุนทั่วไประบุวัตถุประสงค์ - สวัสดิการเกี่ยวกับการศึกษาบุตร</t>
  </si>
  <si>
    <t>เงินอุดหนุนทั่วไประบุวัตถุประสงค์ - เบี้ยยังชีพผู้สูงอายุ</t>
  </si>
  <si>
    <t>เงินอุดหนุนทั่วไประบุวัตถุประสงค์ - เบี้ยยังชีพผู้พิการ</t>
  </si>
  <si>
    <t>เงินอุดหนุนทั่วไประบุวัตถุประสงค์ - เงินสบทบกองทุนประกันสังคม</t>
  </si>
  <si>
    <t>เงินอุดหนุนทั่วไประบุวัตถุประสงค์ - เงินเดือนผู้ดูแลเด็ก</t>
  </si>
  <si>
    <t>เงินอุดหนุนทั่วไประบุวัตถุประสงค์ - โครงการป้องกันยาเสพติด</t>
  </si>
  <si>
    <t>เงินอุดหนุนทั่วไประบุวัตถุประสงค์ -เงินค่าจัดการเรียนการสอน</t>
  </si>
  <si>
    <t>เงินอุดหนุนทั่วไประบุวัตถุประสงค์ - เงินทุนการศึกษาสำหรับผู้ดูแลเด็ก</t>
  </si>
  <si>
    <t>ผู้อนุมัติ</t>
  </si>
  <si>
    <t>ผู้บันทึกบัญชี</t>
  </si>
  <si>
    <t>(นางสาวคนึงนิจ  เขตต์กลาง)</t>
  </si>
  <si>
    <t>นักวิชาการเงินและบัญชีชำนาญการ</t>
  </si>
  <si>
    <t xml:space="preserve">                   (นางสาวคนึงนิจ  เขตต์กลาง)</t>
  </si>
  <si>
    <t xml:space="preserve">       (ลงชื่อ)…...................................       </t>
  </si>
  <si>
    <t xml:space="preserve">       (ลงชื่อ)…...................................   </t>
  </si>
  <si>
    <t>ใบผ่านรายการบัญชีมาตรฐาน (3)</t>
  </si>
  <si>
    <t>ค่าใบอนุญาตประกอบกิจการเก็บขน สิ่งปฏิกูล</t>
  </si>
  <si>
    <t>ค่าธรรมเนียมใบอนุญาตการขายสุรา</t>
  </si>
  <si>
    <t>ค่าธรรมเนียมเก็บและขนมูลฝอย</t>
  </si>
  <si>
    <t>ค่าธรรมเนียมทะเบียนราษฎร์</t>
  </si>
  <si>
    <t>ค่าธรรมเนียมการจดทะเบียนพาณิชย์</t>
  </si>
  <si>
    <t>ค่าใบอนุญาตประกอบกิจการที่เป็นอันตรายต่อสุขภาพ</t>
  </si>
  <si>
    <t>ค่าใบอนุญาตจัดตั้งสถานที่จำหน่ายหรือสถานที่สะสมอาหารฯ</t>
  </si>
  <si>
    <t>ค่าใบอนุญาตเกี่ยวกับการโฒษณาโดยใช้เครื่องขยายเสียง</t>
  </si>
  <si>
    <t>ค่าเช่าตลาด</t>
  </si>
  <si>
    <t>ภาษีมูลค่าเพิ่ม ตาม พ.ร.บ</t>
  </si>
  <si>
    <t>ภาษีมุลค่าเพิ่ม  1 ใน 9(พรบ.จัดสรรรายได้)</t>
  </si>
  <si>
    <t>ค่าธรรมเนีจดทะเบียนสิทธิและนิติกรรมที่ดิน</t>
  </si>
  <si>
    <t xml:space="preserve"> (นางสุพรรณิการ์  กอบเขตกรรม) </t>
  </si>
  <si>
    <t xml:space="preserve">                 ตำแหน่ง       ผู้อำนวยการกองคลัง</t>
  </si>
  <si>
    <t>เงินอุดหนุนทั่วไป -ในการบำรุงหลักสูตรสถานศึกษา</t>
  </si>
  <si>
    <t>เงินอุดหนุนทั่วไป -ปัจจัยพื้นฐานสำหรับนักเรียนยากจน</t>
  </si>
  <si>
    <t>เงินอุดหนุนทั่วไป-ระบุวัตถุประสงค์ค่าจัดการเรียนการสอน(ศพด.)</t>
  </si>
  <si>
    <t>เงินอุดหนุนทั่วไป -อาหารเสริม(นม) เด็กปฐมวัย</t>
  </si>
  <si>
    <t>เงินอุดหนุนทั่วไป -อาหารเสริม(นม) ประถมศึกษา</t>
  </si>
  <si>
    <t>เงินอุดหนุนทั่วไป - อาหารกลางวัน (เด็กปฐมวัย)</t>
  </si>
  <si>
    <t>เงินอุดหนุนทั่วไป - อาหารกลางวัน (ประถมศึกษา)</t>
  </si>
  <si>
    <t>เงินอุดหนุนทั่วไป -เงินเดือนครูและค่าจ้างประจำ</t>
  </si>
  <si>
    <t xml:space="preserve">  (นางสาวคนึงนิจ           เขตตก์ลาง)</t>
  </si>
  <si>
    <t xml:space="preserve">  นักวิชาการเงินและบัญชีชำนาญการ</t>
  </si>
  <si>
    <t>v =-</t>
  </si>
  <si>
    <t>(เงินอุดหนุน)</t>
  </si>
  <si>
    <t xml:space="preserve">    วันที่  30 เดือน พฤศจิกายน พ.ศ. 2559</t>
  </si>
  <si>
    <t xml:space="preserve">                                                           ผู้จัดทำ</t>
  </si>
  <si>
    <t xml:space="preserve">           (นางสาวคนึงนิจ           เขตตก์ลาง)</t>
  </si>
  <si>
    <t xml:space="preserve">             นักวิชาการเงินและบัญชีชำนาญการ</t>
  </si>
  <si>
    <t>ฏีกา.7/60   ลว.20/10/59</t>
  </si>
  <si>
    <t>ฏีกา.46/60   ลว.3/11/59</t>
  </si>
  <si>
    <t>ค่าปรับผู้กระทำผิดกฎหมายสาธารสุข(รวมใบอนุญาต)</t>
  </si>
  <si>
    <t>เงินอุดหนุนค่าเงินเดือนบุคลากรถ่ายโอน</t>
  </si>
  <si>
    <t>ค่าภาคหลวงปิโตรเลียม</t>
  </si>
  <si>
    <t>เงินฝากธนาคารออมสิน (05-2510-50983-0)</t>
  </si>
  <si>
    <t xml:space="preserve">ปรับปรุงบัญชีเงินฝากธนาคารกรุงไทย (270-5) เข้าบัญชีเงินฝากธนาคารออมสิน (983-0) </t>
  </si>
  <si>
    <t>โอนเงินเพื่อรอชำระเงินต้นให้กับสำนักงานกองทุนพัฒนาเมืองในภูมิภาค</t>
  </si>
  <si>
    <t>เลขที่               /2560</t>
  </si>
  <si>
    <t>ค่าใบอนุญาตให้บุคคลรับจ้างตัดแต่งผม</t>
  </si>
  <si>
    <t>รายได้เบ็ดเตล็ดอื่นๆ</t>
  </si>
  <si>
    <t>เลขที่            /2560</t>
  </si>
  <si>
    <t>เงินอุดหนุนทั่วไป - ระบุวัตถุประสงค์เงินค่าเช่าบ้าน</t>
  </si>
  <si>
    <t>เลขที่    /2560</t>
  </si>
  <si>
    <t>ฏีกา.174/60   ลว.02/12/59</t>
  </si>
  <si>
    <t>เงินเดือนครูและค่าจ้างประจำ</t>
  </si>
  <si>
    <t>รายรับ(ค่าปรับผิดสัญญาเงินสะสม)</t>
  </si>
  <si>
    <t>รองปลัดเทศบาล รก.ผู้อำนวยการกองคลัง</t>
  </si>
  <si>
    <t>งบกลาง(เงินอุดหนุน)</t>
  </si>
  <si>
    <t>ค่าปรับผิดสัญญาโครงการสูบบ่อบำบัดน้ำเสียเบิกจากเงินสะสม</t>
  </si>
  <si>
    <t>ปรับปรุงรายการบัญชีรายรับเข้าเงินสะสม</t>
  </si>
  <si>
    <t>ณ วันที่ 31  มกราคม  2560</t>
  </si>
  <si>
    <t>ฏีกา.293/60   ลว.11/01/60</t>
  </si>
  <si>
    <t>รายรับ  (ค่าปรับผิดสัญญาโครงการบ่อบำบัด)</t>
  </si>
  <si>
    <t>ดอกเบี้ยเงินฝากธนาคาร</t>
  </si>
  <si>
    <t>เงินอุดหนุนเฉพาะกิจ-สำหรับอุปกรณ์ห้องเรียน</t>
  </si>
  <si>
    <t>เงินอุดหนุนทั่วไป - คชจ.อินเตอร์เน็ตในโรงเรียน (ADSL)</t>
  </si>
  <si>
    <t>เงินอุดหนุนทั่วไป -คชจ.ในการพัฒนา/ปรับปรุง</t>
  </si>
  <si>
    <t>เงินอุดหนุนทั่วไป -คชจ.ในการพัฒนาแหล่งเรียนรู้ในโรงเรียน</t>
  </si>
  <si>
    <t>เงินอุดหนุนทั่วไป -คชจ.ในการปรับปรุง/ซ่อมแซมอาคารเรียนและอาคารปรกอบ</t>
  </si>
  <si>
    <t>เงินอุดหนุนทั่วไป-กิจกรรมพัฒนาคุณภาพการเรียน</t>
  </si>
  <si>
    <t>เงินอุดหนุนทั่วไป-ค่าอุปกรณ์การเรียน</t>
  </si>
  <si>
    <t>รับคืนเงินเงินสะสม</t>
  </si>
  <si>
    <t>ฏีกา.413/60   ลว.09/02/60</t>
  </si>
  <si>
    <t xml:space="preserve">    วันที่  31 เดือน มกราคม พ.ศ. 2560</t>
  </si>
  <si>
    <t>เลขที่      /2560</t>
  </si>
  <si>
    <t>อาหารเสริม (นม) ศพด.</t>
  </si>
  <si>
    <t>อาหารกลางวัน ศพด</t>
  </si>
  <si>
    <t>ค่าตอบแทนครูผู้ดูแลเด็ก</t>
  </si>
  <si>
    <t>เงินประกันสังคมครูผู้ดูแลเด็ก</t>
  </si>
  <si>
    <t>ค่าอุปกรณ์การเรียน</t>
  </si>
  <si>
    <t>เบี้ยยังชีพคนพิการ</t>
  </si>
  <si>
    <t>เงินอุดหนุนทั่วไป-สำหรับการจัดการศึกษาภาคบังคับ (ค่าเช่าบ้าน) ครั้งที่ 2</t>
  </si>
  <si>
    <t>216000</t>
  </si>
  <si>
    <t>เงินรับฝาก -ค่าตอบแทนสหกรณ์ออมทรัพย์พนักงานเทศบาล จำกัด</t>
  </si>
  <si>
    <t>เบิกเกินส่งคืน - งบกลาง</t>
  </si>
  <si>
    <t>เงินรับฝาก -เงินปันผลสหกรณ์ออมทรัพย์เทศบาล จำกัด</t>
  </si>
  <si>
    <t>เบิก01/03/1959</t>
  </si>
  <si>
    <t>20 ก.พ.60</t>
  </si>
  <si>
    <t>10072827</t>
  </si>
  <si>
    <t>ฏีกา.489/60   ลว.02/03/60</t>
  </si>
  <si>
    <t>ฏีกา.532/60   ลว.16/03/60</t>
  </si>
  <si>
    <t>รายได้รอการรับรู้</t>
  </si>
  <si>
    <t>ใบอนุญาตจำหน่ายยาสูบ</t>
  </si>
  <si>
    <t>เบิกเกินส่งคืน - ลูกหนี้เงินยืม(เบี้ยยังชีพ)</t>
  </si>
  <si>
    <t>ค่าธรรมเนียมนิติกรรมฯ</t>
  </si>
  <si>
    <t>ค่าธรรมเนียมจดทะเบียนสิทธิ์และนิติกรรมฯ พ.ย.59</t>
  </si>
  <si>
    <t>ค่าภาคหลวงปิโตรเลี่ยม 1/60</t>
  </si>
  <si>
    <t>เดือนมกราคม 60</t>
  </si>
  <si>
    <t>เดือนกุมภาพันธ์ 60</t>
  </si>
  <si>
    <t>ค่าธรรมเนียมจดทะเบียนสิทธิ์และนิติกรรมฯ ธ.ค.59</t>
  </si>
  <si>
    <t>ค่าใบอนุญาตขายสุรา ธ.ค.59</t>
  </si>
  <si>
    <t>ค่าภาคหลวงแร่ 4/2559</t>
  </si>
  <si>
    <t>ภาษีมูลค่าเพิ่มตาม พรบ.กำหนดแผนและขั้นตอนการกระจายอำนาจฯ ต.ค.59</t>
  </si>
  <si>
    <t>เดือนมีนาคม 60</t>
  </si>
  <si>
    <t>ภาษีมูลค่าเพิ่มตาม พรบ.กำหนดแผนและขั้นตอนการกระจายอำนาจฯ พ.ย.59</t>
  </si>
  <si>
    <t>เงินอุดหนุนทั่วไป-สำหรับการจัดการศึกษาภาคบังคับ (เงินเดือนและค่าจ้างประจำ)</t>
  </si>
  <si>
    <t>เบี้ยยังชีพผู้สูงอายุ ไตรมาสที่ 3 (เม.ย.-มิ.ย.60)</t>
  </si>
  <si>
    <t>เบี้ยยังชีพคนพิการ ไตรมาสที่ 3 (เม.ย.-มิ.ย.60)</t>
  </si>
  <si>
    <t>ภาษี 1/9</t>
  </si>
  <si>
    <t>ใบที่ 2</t>
  </si>
  <si>
    <t>ค่าจัดการเรียนการสอน</t>
  </si>
  <si>
    <t>ค่ากิจกรรมพัฒนาคุณภาพการเรียน</t>
  </si>
  <si>
    <t>ค่าอาหารเสริม (นม) ปฐมวัย</t>
  </si>
  <si>
    <t>ค่าอาหารกลางวันเด็กปฐมวัย</t>
  </si>
  <si>
    <t>ค่าอาหารเสริม (นม) ประถมศึกษา</t>
  </si>
  <si>
    <t>ค่าอาหารกลางวันประถมศึกษา</t>
  </si>
  <si>
    <t>ส่งเสริมศักยภาพการศึกษา</t>
  </si>
  <si>
    <t>ค่าเครื่องแบบนักเรียน</t>
  </si>
  <si>
    <t>ค่าหนังสือเรียน</t>
  </si>
  <si>
    <t>ภาษีมูลค่าเพิ่มตาม พรบ.กำหนดแผนและขั้นตอนกระจายอำนาจฯ</t>
  </si>
  <si>
    <t>เบิกเกินส่งคืน -สาธารณูปโภค</t>
  </si>
  <si>
    <t>รับคืนค่าสาธารณูปโภค (เบิกเกินส่งคืน)</t>
  </si>
  <si>
    <t>ภาษีมูลค่าเพิ่ม 1/9</t>
  </si>
  <si>
    <t xml:space="preserve">เงินภาษีและค่าธรรมเนียมรถยนต์ </t>
  </si>
  <si>
    <t>เงินรับฝาก-ค่าดำเนินค่าปรับสภาพแวดล้อมที่อยู่อาศัยสำหรับผู้พิการ-สูงอายุฯ</t>
  </si>
  <si>
    <t>ส่งใช้เงินยืมงบประมาณตามฎีกา</t>
  </si>
  <si>
    <t xml:space="preserve"> .......................................................       ว่าที่ ร.อ. ……………………………………                   ……………………………………………..</t>
  </si>
  <si>
    <t>ว่าที่ ร.อ. ..........................................</t>
  </si>
  <si>
    <t>(สกล  พละเสน)</t>
  </si>
  <si>
    <t>ปลัดเทศบาลตำบลตลาดแค</t>
  </si>
  <si>
    <t>ดอกเบี้ยเงินฝากธนาคารฯ</t>
  </si>
  <si>
    <t xml:space="preserve">                        (นางสาวอมรรัตน์  แสงฤทธิ์)</t>
  </si>
  <si>
    <t xml:space="preserve">      ตำแหน่ง          อำนวยการกองคลัง</t>
  </si>
  <si>
    <t>ค่าธรรมเนียมเก็บขนอุจจาระและสิ่งปฎิกูล</t>
  </si>
  <si>
    <t>ปัจจัยพื้นฐานสหรับนักเรียนยากจน</t>
  </si>
  <si>
    <t>(นางสาวอมรรัตน์  แสงฤทธิ์)</t>
  </si>
  <si>
    <t>ผู้อำนวยการกองคลัง</t>
  </si>
  <si>
    <t xml:space="preserve">    วันที่  31  เดือน กรกฎาคม  พ.ศ. 2560</t>
  </si>
  <si>
    <t>ณ วันที่   31 กรกฎาคม 2560</t>
  </si>
  <si>
    <t>(นางสาวอมรรัตน์   แสงฤทธิ์)</t>
  </si>
  <si>
    <t>เดือนมิถุนายน 60</t>
  </si>
  <si>
    <t>ปรับปรุงบัญชีเงินรายได้ค้างรับจากรัฐบาล</t>
  </si>
  <si>
    <t>เงินอุดหนุนทั่วไป(ค่าตอบแทนสำหรับครูผู้ดูแลเด็ก)</t>
  </si>
  <si>
    <t xml:space="preserve">   (นางสาวอมรรัตน์  แสงฤทธิ์)                      ( สกล  พละเสน )                             ( นายชัยรัตน์  กิตติหิรัญวัฒน์)</t>
  </si>
  <si>
    <r>
      <t xml:space="preserve">       ผู้อำนวยการกองคลัง </t>
    </r>
    <r>
      <rPr>
        <sz val="14"/>
        <rFont val="TH SarabunPSK"/>
        <family val="2"/>
      </rPr>
      <t xml:space="preserve">                      </t>
    </r>
    <r>
      <rPr>
        <sz val="16"/>
        <rFont val="TH SarabunPSK"/>
        <family val="2"/>
      </rPr>
      <t>ปลัดเทศบาลตำบลตลาดแค                         นายกเทศมนตรีตำบลตลาดแค</t>
    </r>
  </si>
  <si>
    <t xml:space="preserve">                      ผู้อำนวยการกองคลัง</t>
  </si>
  <si>
    <t>ปรับปรุงบัญชีเงินรายได้เงินอุดหนุน</t>
  </si>
  <si>
    <t>ปรับปรุงบัญชีเนื่องจากลงผิดหมวด</t>
  </si>
  <si>
    <t>กระดาษทำการ  เทศบาลตำบลตลาดแค   ประจำเดือนสิงหาคม  2560</t>
  </si>
  <si>
    <t>ณ  วันที่  31  สิงหาคม 2560</t>
  </si>
  <si>
    <t>วันที่  31   เดือน  สิงหาคม  พ.ศ. 2560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</si>
  <si>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รายการจากสมุดเงินสดรับไปยังบัญชีแยกประเภทที่เกี่ยวข้องประจำเดือนสิงหาคม  2560</t>
    </r>
  </si>
  <si>
    <t>เบิกเกินส่งคืน - ค่าใช้จ่ายโครงการนักวางแผนพัฒนาท้องถิ่น</t>
  </si>
  <si>
    <t xml:space="preserve"> เลขที่     /2560</t>
  </si>
  <si>
    <t>วันที่  31    เดือน สิงหาคม  พ.ศ. 2560</t>
  </si>
  <si>
    <r>
      <rPr>
        <b/>
        <u val="single"/>
        <sz val="16"/>
        <rFont val="TH SarabunPSK"/>
        <family val="2"/>
      </rPr>
      <t xml:space="preserve">คำอธิบาย </t>
    </r>
    <r>
      <rPr>
        <sz val="16"/>
        <rFont val="TH SarabunPSK"/>
        <family val="2"/>
      </rPr>
      <t xml:space="preserve"> เพื่อบันทึก รายการจากสมุดเงินสดจ่ายไปยังบัญชีแยกประเภทที่เกี่ยวข้องประจำเดือนสิงหาคม 2560</t>
    </r>
  </si>
  <si>
    <t xml:space="preserve">    วันที่  31  เดือน สิงหาคม  พ.ศ. 2560</t>
  </si>
  <si>
    <t>ส่งใช้เงินยืมฎีกาที่ 1108/60 เพื่อจ่ายเบี้ยยังชีพผู้สูงอายุ</t>
  </si>
  <si>
    <t>ส่งใช้เงินยืมฎีกาที่ 1109/60 เพื่อจ่ายเบี้ยยังชีพคนพิการ</t>
  </si>
  <si>
    <t xml:space="preserve">    วันที่ 31   เดือน สิงหาคม  พ.ศ. 2560</t>
  </si>
  <si>
    <t xml:space="preserve">งวดเดือน เม.ย.60 GFMIS </t>
  </si>
  <si>
    <t>ค่าธรรมเนียมจดทะเบียนสิทธิ์และนิติกรรมฯ มิ.ย.60</t>
  </si>
  <si>
    <t>ค่าตอบแทนครูผู้ดูแลเด็ก(ค้างรับ)</t>
  </si>
  <si>
    <t>ค่าครองชีพชั่วคราว(เพิ่มเติม)</t>
  </si>
  <si>
    <t>ค่าภาคหลวงปิโตรเลี่ยม 3/2560</t>
  </si>
  <si>
    <t>เบี้ยยังชีพผู้สูงอายุ ไตรมาสที่ 4</t>
  </si>
  <si>
    <t>เบี้ยยังชีพคนพิการ ไตรมาสที่ 4</t>
  </si>
  <si>
    <t>เงินอุดหนุนทั่วไป-(ปัจจัยพื้นฐานสำหรับนักเรียนยากจน)</t>
  </si>
  <si>
    <t>อาหารเสริม(นม) ปฐมวัย</t>
  </si>
  <si>
    <t>อาหารกลางวัน ปฐมวัย</t>
  </si>
  <si>
    <t>อาหารเสริม(นม)ประถมศึกษา</t>
  </si>
  <si>
    <t>อาหารกลางวัน ประถมศึกษา</t>
  </si>
  <si>
    <t>ส่งเสริมศักยภาพการจัดการศึกษา</t>
  </si>
  <si>
    <t xml:space="preserve">    วันที่    เดือน สิงหาคม  พ.ศ. 2560</t>
  </si>
  <si>
    <t>ภาษีเงินได้หัก ณ ที่จ่าย</t>
  </si>
  <si>
    <t>ปรับปรุงบัญชีภาษีเงินได้ หัก ณที่จ่าย</t>
  </si>
  <si>
    <t xml:space="preserve">    วันที่  31  เดือน สิงหาคม พ.ศ. 2560</t>
  </si>
  <si>
    <t>ส่งใช้เงินยืมค่าลงทะเบียนอบรมนักวางแผน</t>
  </si>
  <si>
    <t>ยอดคงเหลือตามรายงานธนาคาร   ณ  วันที่  31  สิงหาคม  2560</t>
  </si>
  <si>
    <t>2  สิงหาคม 60</t>
  </si>
  <si>
    <t>10084433</t>
  </si>
  <si>
    <t>24  สิงหาคม 60</t>
  </si>
  <si>
    <t>10084471</t>
  </si>
  <si>
    <t>10084472</t>
  </si>
  <si>
    <t>10084474</t>
  </si>
  <si>
    <t>10084476</t>
  </si>
  <si>
    <t>10084477</t>
  </si>
  <si>
    <t>10084482</t>
  </si>
  <si>
    <t>10084483</t>
  </si>
  <si>
    <t>10084484</t>
  </si>
  <si>
    <t>10084485</t>
  </si>
  <si>
    <t>10084486</t>
  </si>
  <si>
    <t>10084487</t>
  </si>
  <si>
    <t>10084488</t>
  </si>
  <si>
    <t>10084490</t>
  </si>
  <si>
    <t>10084497</t>
  </si>
  <si>
    <t>10084499</t>
  </si>
  <si>
    <t>28  สิงหาคม 60</t>
  </si>
  <si>
    <t>10084506</t>
  </si>
  <si>
    <t>10084509</t>
  </si>
  <si>
    <t>ยอดเงินคงเหลือตามบัญชี ณ   วันที่  วันที่ 31  สิงหาคม   2560</t>
  </si>
  <si>
    <t>ยอดคงเหลือตามรายงานธนาคาร   ณ  วันที่  31   สิงหาคม  2560</t>
  </si>
  <si>
    <t>ยอดเงินคงเหลือตามบัญชี  ณ  วันที่  31   สิงหาคม  2560</t>
  </si>
  <si>
    <t>แยกประเภท</t>
  </si>
  <si>
    <t>เพียงวันที่ 31  สิงหาคม  2560</t>
  </si>
  <si>
    <t>ปีงบประมาณ 2560 ประจำเดือน สิงหาคม  2560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</si>
</sst>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#,##0.00;[Red]#,##0.00"/>
    <numFmt numFmtId="190" formatCode="#,##0;[Red]#,##0"/>
    <numFmt numFmtId="191" formatCode="#,##0.00_ ;[Red]\-#,##0.00\ "/>
    <numFmt numFmtId="192" formatCode="[$-107041E]d\ mmm\ yy;@"/>
    <numFmt numFmtId="193" formatCode="&quot;฿&quot;#,##0.00"/>
    <numFmt numFmtId="194" formatCode="#,##0.00_ ;\-#,##0.00\ "/>
    <numFmt numFmtId="195" formatCode="0.000"/>
    <numFmt numFmtId="196" formatCode="_-* #,##0.000_-;\-* #,##0.000_-;_-* &quot;-&quot;??_-;_-@_-"/>
    <numFmt numFmtId="197" formatCode="#,##0.000_ ;\-#,##0.000\ "/>
    <numFmt numFmtId="198" formatCode="_-* #,##0.0000_-;\-* #,##0.0000_-;_-* &quot;-&quot;??_-;_-@_-"/>
    <numFmt numFmtId="199" formatCode="_-* #,##0.00000_-;\-* #,##0.00000_-;_-* &quot;-&quot;??_-;_-@_-"/>
    <numFmt numFmtId="200" formatCode="_-* #,##0.000000_-;\-* #,##0.000000_-;_-* &quot;-&quot;??_-;_-@_-"/>
    <numFmt numFmtId="201" formatCode="_-* #,##0.0000000_-;\-* #,##0.0000000_-;_-* &quot;-&quot;??_-;_-@_-"/>
    <numFmt numFmtId="202" formatCode="_-* #,##0.00000000_-;\-* #,##0.00000000_-;_-* &quot;-&quot;??_-;_-@_-"/>
    <numFmt numFmtId="203" formatCode="_-* #,##0.000000000_-;\-* #,##0.000000000_-;_-* &quot;-&quot;??_-;_-@_-"/>
    <numFmt numFmtId="204" formatCode="_-* #,##0.0_-;\-* #,##0.0_-;_-* &quot;-&quot;??_-;_-@_-"/>
  </numFmts>
  <fonts count="88">
    <font>
      <sz val="14"/>
      <name val="Cordia New"/>
      <family val="0"/>
    </font>
    <font>
      <sz val="11"/>
      <color indexed="8"/>
      <name val="Tahoma"/>
      <family val="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u val="single"/>
      <sz val="13"/>
      <name val="TH SarabunPSK"/>
      <family val="2"/>
    </font>
    <font>
      <b/>
      <u val="single"/>
      <sz val="13"/>
      <name val="TH SarabunPSK"/>
      <family val="2"/>
    </font>
    <font>
      <sz val="12"/>
      <name val="TH SarabunPSK"/>
      <family val="2"/>
    </font>
    <font>
      <sz val="15"/>
      <name val="TH SarabunPSK"/>
      <family val="2"/>
    </font>
    <font>
      <sz val="14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1"/>
      <name val="TH SarabunPSK"/>
      <family val="2"/>
    </font>
    <font>
      <b/>
      <u val="single"/>
      <sz val="16"/>
      <name val="TH SarabunPSK"/>
      <family val="2"/>
    </font>
    <font>
      <sz val="16"/>
      <color indexed="12"/>
      <name val="TH SarabunPSK"/>
      <family val="2"/>
    </font>
    <font>
      <sz val="16"/>
      <color indexed="16"/>
      <name val="TH SarabunPSK"/>
      <family val="2"/>
    </font>
    <font>
      <sz val="16"/>
      <color indexed="10"/>
      <name val="TH SarabunPSK"/>
      <family val="2"/>
    </font>
    <font>
      <b/>
      <sz val="14"/>
      <name val="TH SarabunPSK"/>
      <family val="2"/>
    </font>
    <font>
      <sz val="16"/>
      <color indexed="17"/>
      <name val="TH SarabunPSK"/>
      <family val="2"/>
    </font>
    <font>
      <sz val="8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10"/>
      <name val="TH SarabunPSK"/>
      <family val="2"/>
    </font>
    <font>
      <u val="single"/>
      <sz val="16"/>
      <name val="TH SarabunPSK"/>
      <family val="2"/>
    </font>
    <font>
      <sz val="16"/>
      <name val="AngsanaUPC"/>
      <family val="1"/>
    </font>
    <font>
      <b/>
      <sz val="16"/>
      <name val="AngsanaUPC"/>
      <family val="1"/>
    </font>
    <font>
      <sz val="14"/>
      <name val="AngsanaUPC"/>
      <family val="1"/>
    </font>
    <font>
      <sz val="15"/>
      <name val="AngsanaUPC"/>
      <family val="1"/>
    </font>
    <font>
      <sz val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PSK"/>
      <family val="2"/>
    </font>
    <font>
      <sz val="13"/>
      <color indexed="8"/>
      <name val="TH SarabunPSK"/>
      <family val="2"/>
    </font>
    <font>
      <sz val="13"/>
      <color indexed="10"/>
      <name val="TH SarabunPSK"/>
      <family val="2"/>
    </font>
    <font>
      <b/>
      <sz val="13"/>
      <color indexed="8"/>
      <name val="TH SarabunPSK"/>
      <family val="2"/>
    </font>
    <font>
      <sz val="20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20"/>
      <color indexed="48"/>
      <name val="TH SarabunPSK"/>
      <family val="2"/>
    </font>
    <font>
      <sz val="18"/>
      <color indexed="8"/>
      <name val="TH SarabunPSK"/>
      <family val="2"/>
    </font>
    <font>
      <b/>
      <u val="single"/>
      <sz val="18"/>
      <color indexed="14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theme="1"/>
      <name val="TH SarabunPSK"/>
      <family val="2"/>
    </font>
    <font>
      <sz val="20"/>
      <color theme="1"/>
      <name val="TH SarabunPSK"/>
      <family val="2"/>
    </font>
    <font>
      <sz val="16"/>
      <color theme="1"/>
      <name val="TH SarabunPSK"/>
      <family val="2"/>
    </font>
    <font>
      <b/>
      <u val="single"/>
      <sz val="20"/>
      <color rgb="FF3333FF"/>
      <name val="TH SarabunPSK"/>
      <family val="2"/>
    </font>
    <font>
      <sz val="18"/>
      <color theme="1"/>
      <name val="TH SarabunPSK"/>
      <family val="2"/>
    </font>
    <font>
      <b/>
      <u val="single"/>
      <sz val="18"/>
      <color rgb="FFFF00FF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4"/>
        <bgColor indexed="42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double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medium"/>
      <right style="medium"/>
      <top style="medium"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/>
    </border>
    <border>
      <left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hair"/>
      <bottom>
        <color indexed="63"/>
      </bottom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medium"/>
      <right style="thin"/>
      <top/>
      <bottom style="hair"/>
    </border>
    <border>
      <left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double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medium"/>
      <bottom style="hair"/>
    </border>
    <border>
      <left style="thin"/>
      <right/>
      <top style="medium"/>
      <bottom style="hair"/>
    </border>
    <border>
      <left style="thin"/>
      <right style="medium"/>
      <top style="medium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 style="medium"/>
      <top style="thin"/>
      <bottom/>
    </border>
    <border>
      <left style="thin"/>
      <right style="medium"/>
      <top style="thick"/>
      <bottom style="thick"/>
    </border>
    <border>
      <left style="medium"/>
      <right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/>
      <top/>
      <bottom style="double"/>
    </border>
    <border>
      <left style="thin"/>
      <right/>
      <top style="double"/>
      <bottom/>
    </border>
    <border>
      <left/>
      <right/>
      <top/>
      <bottom style="double"/>
    </border>
    <border>
      <left style="thin"/>
      <right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2" applyNumberFormat="0" applyAlignment="0" applyProtection="0"/>
    <xf numFmtId="0" fontId="66" fillId="0" borderId="3" applyNumberFormat="0" applyFill="0" applyAlignment="0" applyProtection="0"/>
    <xf numFmtId="0" fontId="67" fillId="22" borderId="0" applyNumberFormat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4" applyNumberFormat="0" applyFill="0" applyAlignment="0" applyProtection="0"/>
    <xf numFmtId="0" fontId="71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72" fillId="20" borderId="5" applyNumberFormat="0" applyAlignment="0" applyProtection="0"/>
    <xf numFmtId="0" fontId="0" fillId="32" borderId="6" applyNumberFormat="0" applyFont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89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3" fontId="3" fillId="0" borderId="0" xfId="36" applyFont="1" applyAlignment="1">
      <alignment vertical="center"/>
    </xf>
    <xf numFmtId="0" fontId="76" fillId="0" borderId="0" xfId="0" applyFont="1" applyAlignment="1">
      <alignment/>
    </xf>
    <xf numFmtId="43" fontId="5" fillId="0" borderId="0" xfId="36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/>
    </xf>
    <xf numFmtId="43" fontId="6" fillId="33" borderId="10" xfId="36" applyFont="1" applyFill="1" applyBorder="1" applyAlignment="1">
      <alignment horizontal="center" vertical="center"/>
    </xf>
    <xf numFmtId="43" fontId="6" fillId="33" borderId="11" xfId="36" applyFont="1" applyFill="1" applyBorder="1" applyAlignment="1">
      <alignment horizontal="center" vertical="center"/>
    </xf>
    <xf numFmtId="43" fontId="8" fillId="0" borderId="10" xfId="36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3" fontId="5" fillId="0" borderId="0" xfId="36" applyFont="1" applyAlignment="1">
      <alignment vertical="center"/>
    </xf>
    <xf numFmtId="188" fontId="6" fillId="0" borderId="11" xfId="36" applyNumberFormat="1" applyFont="1" applyBorder="1" applyAlignment="1">
      <alignment horizontal="center" vertical="center"/>
    </xf>
    <xf numFmtId="43" fontId="6" fillId="0" borderId="11" xfId="36" applyFont="1" applyBorder="1" applyAlignment="1">
      <alignment horizontal="center" vertical="center"/>
    </xf>
    <xf numFmtId="188" fontId="6" fillId="0" borderId="10" xfId="36" applyNumberFormat="1" applyFont="1" applyBorder="1" applyAlignment="1">
      <alignment horizontal="center" vertical="center"/>
    </xf>
    <xf numFmtId="43" fontId="6" fillId="0" borderId="10" xfId="36" applyFont="1" applyBorder="1" applyAlignment="1">
      <alignment horizontal="center" vertical="center"/>
    </xf>
    <xf numFmtId="188" fontId="5" fillId="0" borderId="11" xfId="36" applyNumberFormat="1" applyFont="1" applyBorder="1" applyAlignment="1">
      <alignment vertical="center"/>
    </xf>
    <xf numFmtId="43" fontId="5" fillId="0" borderId="11" xfId="36" applyFont="1" applyBorder="1" applyAlignment="1">
      <alignment vertical="center"/>
    </xf>
    <xf numFmtId="43" fontId="6" fillId="0" borderId="11" xfId="36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43" fontId="6" fillId="33" borderId="13" xfId="36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189" fontId="5" fillId="0" borderId="11" xfId="36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43" fontId="5" fillId="0" borderId="11" xfId="36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3" fontId="5" fillId="33" borderId="12" xfId="36" applyFont="1" applyFill="1" applyBorder="1" applyAlignment="1">
      <alignment vertical="center"/>
    </xf>
    <xf numFmtId="43" fontId="5" fillId="0" borderId="11" xfId="36" applyFont="1" applyBorder="1" applyAlignment="1">
      <alignment horizontal="right" vertical="center"/>
    </xf>
    <xf numFmtId="189" fontId="6" fillId="0" borderId="11" xfId="36" applyNumberFormat="1" applyFont="1" applyBorder="1" applyAlignment="1">
      <alignment vertical="center"/>
    </xf>
    <xf numFmtId="43" fontId="6" fillId="0" borderId="11" xfId="36" applyFont="1" applyBorder="1" applyAlignment="1">
      <alignment horizontal="right" vertical="center"/>
    </xf>
    <xf numFmtId="43" fontId="5" fillId="33" borderId="11" xfId="36" applyFont="1" applyFill="1" applyBorder="1" applyAlignment="1">
      <alignment vertical="center"/>
    </xf>
    <xf numFmtId="43" fontId="5" fillId="0" borderId="11" xfId="36" applyFont="1" applyBorder="1" applyAlignment="1">
      <alignment horizontal="left" vertical="center"/>
    </xf>
    <xf numFmtId="189" fontId="5" fillId="0" borderId="0" xfId="0" applyNumberFormat="1" applyFont="1" applyBorder="1" applyAlignment="1">
      <alignment vertical="center"/>
    </xf>
    <xf numFmtId="43" fontId="5" fillId="0" borderId="0" xfId="36" applyFont="1" applyBorder="1" applyAlignment="1">
      <alignment vertical="center"/>
    </xf>
    <xf numFmtId="189" fontId="5" fillId="0" borderId="0" xfId="36" applyNumberFormat="1" applyFont="1" applyBorder="1" applyAlignment="1">
      <alignment vertical="center"/>
    </xf>
    <xf numFmtId="43" fontId="5" fillId="0" borderId="14" xfId="36" applyFont="1" applyBorder="1" applyAlignment="1">
      <alignment vertical="center"/>
    </xf>
    <xf numFmtId="43" fontId="5" fillId="33" borderId="15" xfId="36" applyFont="1" applyFill="1" applyBorder="1" applyAlignment="1">
      <alignment vertical="center"/>
    </xf>
    <xf numFmtId="43" fontId="6" fillId="0" borderId="16" xfId="36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3" fontId="5" fillId="33" borderId="0" xfId="36" applyFont="1" applyFill="1" applyAlignment="1">
      <alignment vertical="center"/>
    </xf>
    <xf numFmtId="43" fontId="5" fillId="0" borderId="0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43" fontId="5" fillId="0" borderId="14" xfId="36" applyFont="1" applyBorder="1" applyAlignment="1">
      <alignment horizontal="right" vertical="center"/>
    </xf>
    <xf numFmtId="43" fontId="5" fillId="33" borderId="12" xfId="36" applyNumberFormat="1" applyFont="1" applyFill="1" applyBorder="1" applyAlignment="1">
      <alignment horizontal="right" vertical="center"/>
    </xf>
    <xf numFmtId="189" fontId="5" fillId="0" borderId="11" xfId="36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 quotePrefix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43" fontId="6" fillId="33" borderId="16" xfId="36" applyFont="1" applyFill="1" applyBorder="1" applyAlignment="1">
      <alignment vertical="center"/>
    </xf>
    <xf numFmtId="43" fontId="5" fillId="0" borderId="17" xfId="36" applyFont="1" applyBorder="1" applyAlignment="1">
      <alignment vertical="center"/>
    </xf>
    <xf numFmtId="43" fontId="5" fillId="0" borderId="17" xfId="0" applyNumberFormat="1" applyFont="1" applyBorder="1" applyAlignment="1">
      <alignment vertical="center"/>
    </xf>
    <xf numFmtId="43" fontId="78" fillId="0" borderId="0" xfId="36" applyFont="1" applyAlignment="1">
      <alignment vertical="center"/>
    </xf>
    <xf numFmtId="191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vertical="center"/>
    </xf>
    <xf numFmtId="43" fontId="6" fillId="33" borderId="11" xfId="36" applyFont="1" applyFill="1" applyBorder="1" applyAlignment="1">
      <alignment vertical="center"/>
    </xf>
    <xf numFmtId="43" fontId="79" fillId="0" borderId="11" xfId="36" applyFont="1" applyFill="1" applyBorder="1" applyAlignment="1">
      <alignment vertical="center"/>
    </xf>
    <xf numFmtId="189" fontId="6" fillId="0" borderId="12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43" fontId="6" fillId="33" borderId="10" xfId="36" applyFont="1" applyFill="1" applyBorder="1" applyAlignment="1">
      <alignment horizontal="right" vertical="center"/>
    </xf>
    <xf numFmtId="43" fontId="5" fillId="0" borderId="15" xfId="36" applyFont="1" applyBorder="1" applyAlignment="1">
      <alignment vertical="center"/>
    </xf>
    <xf numFmtId="189" fontId="5" fillId="0" borderId="18" xfId="0" applyNumberFormat="1" applyFont="1" applyBorder="1" applyAlignment="1">
      <alignment vertical="center"/>
    </xf>
    <xf numFmtId="189" fontId="6" fillId="0" borderId="19" xfId="0" applyNumberFormat="1" applyFont="1" applyBorder="1" applyAlignment="1">
      <alignment vertical="center"/>
    </xf>
    <xf numFmtId="43" fontId="6" fillId="0" borderId="20" xfId="36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center" vertical="center"/>
    </xf>
    <xf numFmtId="188" fontId="6" fillId="0" borderId="13" xfId="36" applyNumberFormat="1" applyFont="1" applyBorder="1" applyAlignment="1">
      <alignment horizontal="center" vertical="center"/>
    </xf>
    <xf numFmtId="189" fontId="5" fillId="0" borderId="15" xfId="36" applyNumberFormat="1" applyFont="1" applyBorder="1" applyAlignment="1">
      <alignment vertical="center"/>
    </xf>
    <xf numFmtId="189" fontId="5" fillId="0" borderId="21" xfId="36" applyNumberFormat="1" applyFont="1" applyBorder="1" applyAlignment="1">
      <alignment vertical="center"/>
    </xf>
    <xf numFmtId="43" fontId="5" fillId="0" borderId="21" xfId="36" applyFont="1" applyBorder="1" applyAlignment="1">
      <alignment vertical="center"/>
    </xf>
    <xf numFmtId="43" fontId="79" fillId="0" borderId="13" xfId="36" applyFont="1" applyFill="1" applyBorder="1" applyAlignment="1">
      <alignment vertical="center"/>
    </xf>
    <xf numFmtId="43" fontId="79" fillId="0" borderId="11" xfId="36" applyFont="1" applyBorder="1" applyAlignment="1">
      <alignment vertical="center"/>
    </xf>
    <xf numFmtId="43" fontId="79" fillId="0" borderId="11" xfId="36" applyFont="1" applyBorder="1" applyAlignment="1">
      <alignment horizontal="right" vertical="center"/>
    </xf>
    <xf numFmtId="43" fontId="6" fillId="0" borderId="15" xfId="36" applyFont="1" applyBorder="1" applyAlignment="1">
      <alignment horizontal="right" vertical="center"/>
    </xf>
    <xf numFmtId="189" fontId="6" fillId="0" borderId="12" xfId="0" applyNumberFormat="1" applyFont="1" applyBorder="1" applyAlignment="1">
      <alignment vertical="center"/>
    </xf>
    <xf numFmtId="188" fontId="5" fillId="0" borderId="13" xfId="36" applyNumberFormat="1" applyFont="1" applyBorder="1" applyAlignment="1">
      <alignment vertical="center"/>
    </xf>
    <xf numFmtId="43" fontId="8" fillId="0" borderId="11" xfId="36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shrinkToFit="1"/>
    </xf>
    <xf numFmtId="188" fontId="7" fillId="0" borderId="0" xfId="36" applyNumberFormat="1" applyFont="1" applyFill="1" applyBorder="1" applyAlignment="1">
      <alignment/>
    </xf>
    <xf numFmtId="188" fontId="7" fillId="34" borderId="0" xfId="36" applyNumberFormat="1" applyFont="1" applyFill="1" applyBorder="1" applyAlignment="1">
      <alignment/>
    </xf>
    <xf numFmtId="43" fontId="7" fillId="34" borderId="0" xfId="36" applyFont="1" applyFill="1" applyAlignment="1">
      <alignment/>
    </xf>
    <xf numFmtId="43" fontId="7" fillId="34" borderId="0" xfId="36" applyFont="1" applyFill="1" applyAlignment="1">
      <alignment horizontal="right"/>
    </xf>
    <xf numFmtId="43" fontId="4" fillId="34" borderId="0" xfId="36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9" fontId="4" fillId="34" borderId="15" xfId="36" applyNumberFormat="1" applyFont="1" applyFill="1" applyBorder="1" applyAlignment="1">
      <alignment horizontal="center"/>
    </xf>
    <xf numFmtId="43" fontId="4" fillId="0" borderId="15" xfId="36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 shrinkToFit="1"/>
    </xf>
    <xf numFmtId="43" fontId="3" fillId="0" borderId="11" xfId="36" applyFont="1" applyFill="1" applyBorder="1" applyAlignment="1">
      <alignment horizontal="center" shrinkToFit="1"/>
    </xf>
    <xf numFmtId="43" fontId="4" fillId="0" borderId="11" xfId="36" applyFont="1" applyFill="1" applyBorder="1" applyAlignment="1">
      <alignment horizontal="center"/>
    </xf>
    <xf numFmtId="43" fontId="3" fillId="0" borderId="11" xfId="36" applyFont="1" applyFill="1" applyBorder="1" applyAlignment="1">
      <alignment horizontal="center"/>
    </xf>
    <xf numFmtId="43" fontId="3" fillId="34" borderId="22" xfId="36" applyNumberFormat="1" applyFont="1" applyFill="1" applyBorder="1" applyAlignment="1">
      <alignment horizontal="center"/>
    </xf>
    <xf numFmtId="0" fontId="80" fillId="0" borderId="23" xfId="0" applyFont="1" applyFill="1" applyBorder="1" applyAlignment="1">
      <alignment horizontal="center" shrinkToFit="1"/>
    </xf>
    <xf numFmtId="0" fontId="81" fillId="0" borderId="23" xfId="0" applyFont="1" applyFill="1" applyBorder="1" applyAlignment="1">
      <alignment horizontal="left" shrinkToFit="1"/>
    </xf>
    <xf numFmtId="43" fontId="82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horizontal="center"/>
    </xf>
    <xf numFmtId="43" fontId="4" fillId="0" borderId="23" xfId="36" applyFont="1" applyFill="1" applyBorder="1" applyAlignment="1">
      <alignment horizontal="center"/>
    </xf>
    <xf numFmtId="43" fontId="3" fillId="34" borderId="23" xfId="36" applyNumberFormat="1" applyFont="1" applyFill="1" applyBorder="1" applyAlignment="1">
      <alignment horizontal="center"/>
    </xf>
    <xf numFmtId="0" fontId="83" fillId="0" borderId="23" xfId="0" applyFont="1" applyFill="1" applyBorder="1" applyAlignment="1">
      <alignment horizontal="center" shrinkToFit="1"/>
    </xf>
    <xf numFmtId="43" fontId="84" fillId="0" borderId="23" xfId="36" applyFont="1" applyFill="1" applyBorder="1" applyAlignment="1">
      <alignment horizontal="left" shrinkToFit="1"/>
    </xf>
    <xf numFmtId="43" fontId="3" fillId="0" borderId="23" xfId="36" applyFont="1" applyFill="1" applyBorder="1" applyAlignment="1">
      <alignment shrinkToFit="1"/>
    </xf>
    <xf numFmtId="43" fontId="3" fillId="0" borderId="24" xfId="36" applyFont="1" applyFill="1" applyBorder="1" applyAlignment="1">
      <alignment shrinkToFit="1"/>
    </xf>
    <xf numFmtId="43" fontId="81" fillId="0" borderId="23" xfId="36" applyFont="1" applyFill="1" applyBorder="1" applyAlignment="1">
      <alignment horizontal="center"/>
    </xf>
    <xf numFmtId="43" fontId="3" fillId="34" borderId="23" xfId="36" applyFont="1" applyFill="1" applyBorder="1" applyAlignment="1">
      <alignment shrinkToFit="1"/>
    </xf>
    <xf numFmtId="0" fontId="81" fillId="0" borderId="23" xfId="0" applyFont="1" applyFill="1" applyBorder="1" applyAlignment="1">
      <alignment horizontal="center" vertical="center" shrinkToFit="1"/>
    </xf>
    <xf numFmtId="0" fontId="81" fillId="0" borderId="23" xfId="0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horizontal="left" vertical="center" shrinkToFit="1"/>
    </xf>
    <xf numFmtId="43" fontId="3" fillId="0" borderId="23" xfId="36" applyFont="1" applyFill="1" applyBorder="1" applyAlignment="1">
      <alignment vertical="center" shrinkToFit="1"/>
    </xf>
    <xf numFmtId="43" fontId="7" fillId="0" borderId="0" xfId="0" applyNumberFormat="1" applyFont="1" applyFill="1" applyAlignment="1">
      <alignment/>
    </xf>
    <xf numFmtId="0" fontId="85" fillId="0" borderId="16" xfId="0" applyFont="1" applyFill="1" applyBorder="1" applyAlignment="1">
      <alignment horizontal="center" shrinkToFit="1"/>
    </xf>
    <xf numFmtId="0" fontId="14" fillId="0" borderId="16" xfId="0" applyFont="1" applyFill="1" applyBorder="1" applyAlignment="1">
      <alignment horizontal="center" shrinkToFit="1"/>
    </xf>
    <xf numFmtId="43" fontId="14" fillId="0" borderId="16" xfId="36" applyFont="1" applyFill="1" applyBorder="1" applyAlignment="1">
      <alignment horizontal="center" shrinkToFit="1"/>
    </xf>
    <xf numFmtId="0" fontId="15" fillId="0" borderId="0" xfId="0" applyFont="1" applyFill="1" applyAlignment="1">
      <alignment/>
    </xf>
    <xf numFmtId="0" fontId="13" fillId="0" borderId="23" xfId="0" applyFont="1" applyFill="1" applyBorder="1" applyAlignment="1">
      <alignment horizontal="center" shrinkToFit="1"/>
    </xf>
    <xf numFmtId="0" fontId="13" fillId="0" borderId="23" xfId="0" applyFont="1" applyFill="1" applyBorder="1" applyAlignment="1">
      <alignment shrinkToFit="1"/>
    </xf>
    <xf numFmtId="188" fontId="7" fillId="0" borderId="23" xfId="36" applyNumberFormat="1" applyFont="1" applyFill="1" applyBorder="1" applyAlignment="1">
      <alignment/>
    </xf>
    <xf numFmtId="188" fontId="7" fillId="34" borderId="23" xfId="36" applyNumberFormat="1" applyFont="1" applyFill="1" applyBorder="1" applyAlignment="1">
      <alignment/>
    </xf>
    <xf numFmtId="43" fontId="7" fillId="0" borderId="0" xfId="36" applyFont="1" applyFill="1" applyAlignment="1">
      <alignment/>
    </xf>
    <xf numFmtId="0" fontId="11" fillId="0" borderId="0" xfId="0" applyFont="1" applyBorder="1" applyAlignment="1">
      <alignment horizontal="left" vertical="center"/>
    </xf>
    <xf numFmtId="43" fontId="3" fillId="34" borderId="24" xfId="36" applyNumberFormat="1" applyFont="1" applyFill="1" applyBorder="1" applyAlignment="1">
      <alignment horizontal="center"/>
    </xf>
    <xf numFmtId="43" fontId="3" fillId="34" borderId="24" xfId="36" applyFont="1" applyFill="1" applyBorder="1" applyAlignment="1">
      <alignment shrinkToFit="1"/>
    </xf>
    <xf numFmtId="0" fontId="86" fillId="0" borderId="23" xfId="0" applyFont="1" applyFill="1" applyBorder="1" applyAlignment="1">
      <alignment horizontal="left" vertical="center" shrinkToFit="1"/>
    </xf>
    <xf numFmtId="43" fontId="81" fillId="0" borderId="23" xfId="36" applyFont="1" applyFill="1" applyBorder="1" applyAlignment="1">
      <alignment horizontal="left" vertical="center" shrinkToFit="1"/>
    </xf>
    <xf numFmtId="190" fontId="5" fillId="0" borderId="25" xfId="0" applyNumberFormat="1" applyFont="1" applyBorder="1" applyAlignment="1" quotePrefix="1">
      <alignment horizontal="center" vertical="center"/>
    </xf>
    <xf numFmtId="0" fontId="81" fillId="0" borderId="11" xfId="0" applyFont="1" applyFill="1" applyBorder="1" applyAlignment="1">
      <alignment horizontal="center" vertical="center" shrinkToFit="1"/>
    </xf>
    <xf numFmtId="0" fontId="86" fillId="0" borderId="11" xfId="0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horizontal="left" vertical="center" shrinkToFit="1"/>
    </xf>
    <xf numFmtId="43" fontId="3" fillId="0" borderId="11" xfId="36" applyFont="1" applyFill="1" applyBorder="1" applyAlignment="1">
      <alignment vertical="center" shrinkToFit="1"/>
    </xf>
    <xf numFmtId="43" fontId="3" fillId="0" borderId="0" xfId="36" applyNumberFormat="1" applyFont="1" applyBorder="1" applyAlignment="1">
      <alignment vertical="center"/>
    </xf>
    <xf numFmtId="189" fontId="5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3" fontId="3" fillId="0" borderId="0" xfId="36" applyFont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43" fontId="4" fillId="0" borderId="27" xfId="36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30" xfId="0" applyNumberFormat="1" applyFont="1" applyBorder="1" applyAlignment="1">
      <alignment horizontal="center"/>
    </xf>
    <xf numFmtId="43" fontId="3" fillId="0" borderId="30" xfId="36" applyFont="1" applyBorder="1" applyAlignment="1">
      <alignment/>
    </xf>
    <xf numFmtId="43" fontId="3" fillId="0" borderId="0" xfId="0" applyNumberFormat="1" applyFont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1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center" shrinkToFit="1"/>
    </xf>
    <xf numFmtId="0" fontId="7" fillId="0" borderId="0" xfId="0" applyFont="1" applyBorder="1" applyAlignment="1">
      <alignment horizontal="left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43" fontId="4" fillId="0" borderId="28" xfId="36" applyFont="1" applyBorder="1" applyAlignment="1">
      <alignment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3" fillId="0" borderId="0" xfId="36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43" fontId="4" fillId="0" borderId="0" xfId="36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center" vertical="center"/>
    </xf>
    <xf numFmtId="43" fontId="4" fillId="0" borderId="28" xfId="36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 quotePrefix="1">
      <alignment horizontal="center" vertical="center"/>
    </xf>
    <xf numFmtId="43" fontId="3" fillId="0" borderId="38" xfId="36" applyFont="1" applyBorder="1" applyAlignment="1">
      <alignment vertical="center"/>
    </xf>
    <xf numFmtId="43" fontId="3" fillId="0" borderId="39" xfId="36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43" fontId="3" fillId="0" borderId="40" xfId="36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43" fontId="3" fillId="0" borderId="44" xfId="36" applyFont="1" applyBorder="1" applyAlignment="1">
      <alignment vertical="center"/>
    </xf>
    <xf numFmtId="0" fontId="11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 quotePrefix="1">
      <alignment horizontal="center" vertical="center"/>
    </xf>
    <xf numFmtId="0" fontId="3" fillId="0" borderId="43" xfId="0" applyFont="1" applyFill="1" applyBorder="1" applyAlignment="1">
      <alignment horizontal="center" shrinkToFit="1"/>
    </xf>
    <xf numFmtId="0" fontId="3" fillId="0" borderId="45" xfId="0" applyFont="1" applyBorder="1" applyAlignment="1" quotePrefix="1">
      <alignment horizontal="center" vertical="center"/>
    </xf>
    <xf numFmtId="0" fontId="3" fillId="35" borderId="41" xfId="0" applyFont="1" applyFill="1" applyBorder="1" applyAlignment="1">
      <alignment vertical="center"/>
    </xf>
    <xf numFmtId="0" fontId="3" fillId="35" borderId="42" xfId="0" applyFont="1" applyFill="1" applyBorder="1" applyAlignment="1">
      <alignment vertical="center"/>
    </xf>
    <xf numFmtId="49" fontId="3" fillId="0" borderId="45" xfId="0" applyNumberFormat="1" applyFont="1" applyBorder="1" applyAlignment="1">
      <alignment horizontal="center"/>
    </xf>
    <xf numFmtId="43" fontId="3" fillId="35" borderId="44" xfId="36" applyFont="1" applyFill="1" applyBorder="1" applyAlignment="1">
      <alignment vertical="center"/>
    </xf>
    <xf numFmtId="0" fontId="3" fillId="35" borderId="43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 vertical="center"/>
    </xf>
    <xf numFmtId="0" fontId="3" fillId="0" borderId="41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7" fillId="0" borderId="41" xfId="0" applyFont="1" applyBorder="1" applyAlignment="1">
      <alignment/>
    </xf>
    <xf numFmtId="0" fontId="3" fillId="35" borderId="43" xfId="0" applyFont="1" applyFill="1" applyBorder="1" applyAlignment="1" quotePrefix="1">
      <alignment horizontal="center" vertical="center"/>
    </xf>
    <xf numFmtId="43" fontId="81" fillId="35" borderId="43" xfId="36" applyFont="1" applyFill="1" applyBorder="1" applyAlignment="1">
      <alignment vertical="center"/>
    </xf>
    <xf numFmtId="0" fontId="3" fillId="35" borderId="41" xfId="0" applyFont="1" applyFill="1" applyBorder="1" applyAlignment="1">
      <alignment horizontal="left" vertical="center"/>
    </xf>
    <xf numFmtId="0" fontId="3" fillId="35" borderId="42" xfId="0" applyFont="1" applyFill="1" applyBorder="1" applyAlignment="1">
      <alignment horizontal="left" vertical="center"/>
    </xf>
    <xf numFmtId="49" fontId="3" fillId="35" borderId="43" xfId="0" applyNumberFormat="1" applyFont="1" applyFill="1" applyBorder="1" applyAlignment="1">
      <alignment horizontal="center" vertical="center"/>
    </xf>
    <xf numFmtId="43" fontId="18" fillId="0" borderId="0" xfId="0" applyNumberFormat="1" applyFont="1" applyAlignment="1">
      <alignment vertical="center"/>
    </xf>
    <xf numFmtId="43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46" xfId="0" applyFont="1" applyFill="1" applyBorder="1" applyAlignment="1">
      <alignment horizontal="left" vertical="center"/>
    </xf>
    <xf numFmtId="43" fontId="3" fillId="35" borderId="43" xfId="36" applyFont="1" applyFill="1" applyBorder="1" applyAlignment="1">
      <alignment vertical="center"/>
    </xf>
    <xf numFmtId="0" fontId="3" fillId="35" borderId="47" xfId="0" applyFont="1" applyFill="1" applyBorder="1" applyAlignment="1">
      <alignment horizontal="center" vertical="center"/>
    </xf>
    <xf numFmtId="43" fontId="4" fillId="35" borderId="48" xfId="36" applyFont="1" applyFill="1" applyBorder="1" applyAlignment="1">
      <alignment vertical="center"/>
    </xf>
    <xf numFmtId="43" fontId="4" fillId="35" borderId="49" xfId="36" applyFont="1" applyFill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3" fontId="4" fillId="0" borderId="0" xfId="36" applyFont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43" fontId="4" fillId="0" borderId="0" xfId="36" applyFont="1" applyAlignment="1">
      <alignment vertical="center"/>
    </xf>
    <xf numFmtId="0" fontId="4" fillId="0" borderId="51" xfId="0" applyFont="1" applyBorder="1" applyAlignment="1">
      <alignment horizontal="center" vertical="center"/>
    </xf>
    <xf numFmtId="43" fontId="4" fillId="0" borderId="52" xfId="36" applyFont="1" applyBorder="1" applyAlignment="1">
      <alignment horizontal="center" vertical="center"/>
    </xf>
    <xf numFmtId="43" fontId="4" fillId="0" borderId="53" xfId="36" applyFont="1" applyBorder="1" applyAlignment="1">
      <alignment horizontal="center" vertical="center"/>
    </xf>
    <xf numFmtId="43" fontId="3" fillId="0" borderId="54" xfId="36" applyFont="1" applyFill="1" applyBorder="1" applyAlignment="1">
      <alignment vertical="center"/>
    </xf>
    <xf numFmtId="43" fontId="3" fillId="0" borderId="55" xfId="36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43" fontId="3" fillId="0" borderId="46" xfId="36" applyFont="1" applyFill="1" applyBorder="1" applyAlignment="1">
      <alignment vertical="center"/>
    </xf>
    <xf numFmtId="43" fontId="3" fillId="0" borderId="56" xfId="36" applyFont="1" applyFill="1" applyBorder="1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58" xfId="0" applyFont="1" applyBorder="1" applyAlignment="1">
      <alignment vertical="center"/>
    </xf>
    <xf numFmtId="43" fontId="3" fillId="0" borderId="23" xfId="36" applyFont="1" applyFill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60" xfId="0" applyFont="1" applyBorder="1" applyAlignment="1">
      <alignment vertical="center"/>
    </xf>
    <xf numFmtId="43" fontId="20" fillId="0" borderId="61" xfId="36" applyFont="1" applyBorder="1" applyAlignment="1">
      <alignment vertical="center"/>
    </xf>
    <xf numFmtId="43" fontId="4" fillId="0" borderId="16" xfId="36" applyFont="1" applyBorder="1" applyAlignment="1">
      <alignment vertical="center"/>
    </xf>
    <xf numFmtId="43" fontId="4" fillId="0" borderId="62" xfId="36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3" fontId="20" fillId="0" borderId="0" xfId="36" applyFont="1" applyBorder="1" applyAlignment="1">
      <alignment vertical="center"/>
    </xf>
    <xf numFmtId="0" fontId="20" fillId="0" borderId="0" xfId="0" applyFont="1" applyBorder="1" applyAlignment="1" quotePrefix="1">
      <alignment horizontal="center" vertical="center"/>
    </xf>
    <xf numFmtId="43" fontId="3" fillId="0" borderId="63" xfId="36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0" fontId="3" fillId="0" borderId="3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43" fontId="3" fillId="0" borderId="0" xfId="36" applyFont="1" applyFill="1" applyBorder="1" applyAlignment="1">
      <alignment horizontal="center" vertical="center"/>
    </xf>
    <xf numFmtId="43" fontId="3" fillId="0" borderId="0" xfId="36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33" xfId="0" applyFont="1" applyBorder="1" applyAlignment="1">
      <alignment horizontal="right" vertical="center"/>
    </xf>
    <xf numFmtId="43" fontId="4" fillId="0" borderId="34" xfId="36" applyFont="1" applyFill="1" applyBorder="1" applyAlignment="1">
      <alignment vertical="center"/>
    </xf>
    <xf numFmtId="43" fontId="3" fillId="0" borderId="64" xfId="36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4" fillId="0" borderId="0" xfId="36" applyFont="1" applyFill="1" applyBorder="1" applyAlignment="1">
      <alignment vertical="center"/>
    </xf>
    <xf numFmtId="43" fontId="4" fillId="0" borderId="0" xfId="36" applyFont="1" applyFill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43" fontId="3" fillId="0" borderId="24" xfId="36" applyFont="1" applyFill="1" applyBorder="1" applyAlignment="1">
      <alignment vertical="center"/>
    </xf>
    <xf numFmtId="43" fontId="3" fillId="0" borderId="65" xfId="36" applyFont="1" applyFill="1" applyBorder="1" applyAlignment="1">
      <alignment vertical="center"/>
    </xf>
    <xf numFmtId="0" fontId="3" fillId="0" borderId="50" xfId="0" applyFont="1" applyBorder="1" applyAlignment="1">
      <alignment horizontal="right" vertical="center"/>
    </xf>
    <xf numFmtId="43" fontId="3" fillId="0" borderId="50" xfId="36" applyFont="1" applyFill="1" applyBorder="1" applyAlignment="1">
      <alignment vertical="center"/>
    </xf>
    <xf numFmtId="43" fontId="3" fillId="0" borderId="50" xfId="36" applyFont="1" applyBorder="1" applyAlignment="1">
      <alignment vertical="center"/>
    </xf>
    <xf numFmtId="49" fontId="3" fillId="0" borderId="46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shrinkToFit="1"/>
    </xf>
    <xf numFmtId="0" fontId="3" fillId="0" borderId="34" xfId="0" applyFont="1" applyBorder="1" applyAlignment="1">
      <alignment horizontal="center" vertical="center"/>
    </xf>
    <xf numFmtId="43" fontId="21" fillId="0" borderId="0" xfId="36" applyFont="1" applyBorder="1" applyAlignment="1">
      <alignment horizontal="center" shrinkToFit="1"/>
    </xf>
    <xf numFmtId="43" fontId="7" fillId="0" borderId="22" xfId="36" applyFont="1" applyBorder="1" applyAlignment="1">
      <alignment shrinkToFit="1"/>
    </xf>
    <xf numFmtId="0" fontId="7" fillId="0" borderId="0" xfId="0" applyFont="1" applyAlignment="1">
      <alignment shrinkToFit="1"/>
    </xf>
    <xf numFmtId="0" fontId="3" fillId="0" borderId="0" xfId="0" applyFont="1" applyAlignment="1">
      <alignment shrinkToFit="1"/>
    </xf>
    <xf numFmtId="0" fontId="21" fillId="0" borderId="15" xfId="0" applyFont="1" applyBorder="1" applyAlignment="1">
      <alignment horizontal="center" shrinkToFit="1"/>
    </xf>
    <xf numFmtId="43" fontId="7" fillId="36" borderId="15" xfId="36" applyFont="1" applyFill="1" applyBorder="1" applyAlignment="1">
      <alignment horizontal="center" shrinkToFit="1"/>
    </xf>
    <xf numFmtId="0" fontId="21" fillId="36" borderId="15" xfId="0" applyFont="1" applyFill="1" applyBorder="1" applyAlignment="1">
      <alignment horizontal="center" shrinkToFit="1"/>
    </xf>
    <xf numFmtId="43" fontId="7" fillId="37" borderId="15" xfId="36" applyFont="1" applyFill="1" applyBorder="1" applyAlignment="1">
      <alignment horizontal="center" shrinkToFit="1"/>
    </xf>
    <xf numFmtId="43" fontId="7" fillId="38" borderId="15" xfId="36" applyFont="1" applyFill="1" applyBorder="1" applyAlignment="1">
      <alignment horizontal="center" shrinkToFit="1"/>
    </xf>
    <xf numFmtId="43" fontId="7" fillId="39" borderId="15" xfId="36" applyFont="1" applyFill="1" applyBorder="1" applyAlignment="1">
      <alignment horizontal="center" shrinkToFit="1"/>
    </xf>
    <xf numFmtId="43" fontId="7" fillId="40" borderId="15" xfId="36" applyFont="1" applyFill="1" applyBorder="1" applyAlignment="1">
      <alignment horizontal="center" shrinkToFit="1"/>
    </xf>
    <xf numFmtId="43" fontId="7" fillId="41" borderId="15" xfId="36" applyFont="1" applyFill="1" applyBorder="1" applyAlignment="1">
      <alignment horizontal="center" shrinkToFit="1"/>
    </xf>
    <xf numFmtId="43" fontId="7" fillId="42" borderId="15" xfId="36" applyFont="1" applyFill="1" applyBorder="1" applyAlignment="1">
      <alignment horizontal="center" shrinkToFit="1"/>
    </xf>
    <xf numFmtId="43" fontId="7" fillId="43" borderId="15" xfId="36" applyFont="1" applyFill="1" applyBorder="1" applyAlignment="1">
      <alignment horizontal="center" shrinkToFit="1"/>
    </xf>
    <xf numFmtId="43" fontId="7" fillId="44" borderId="15" xfId="36" applyFont="1" applyFill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3" fillId="0" borderId="22" xfId="0" applyFont="1" applyFill="1" applyBorder="1" applyAlignment="1">
      <alignment horizontal="left" shrinkToFit="1"/>
    </xf>
    <xf numFmtId="0" fontId="3" fillId="0" borderId="22" xfId="0" applyFont="1" applyFill="1" applyBorder="1" applyAlignment="1" quotePrefix="1">
      <alignment horizontal="center" shrinkToFit="1"/>
    </xf>
    <xf numFmtId="43" fontId="3" fillId="36" borderId="22" xfId="36" applyFont="1" applyFill="1" applyBorder="1" applyAlignment="1">
      <alignment shrinkToFit="1"/>
    </xf>
    <xf numFmtId="43" fontId="3" fillId="37" borderId="22" xfId="36" applyFont="1" applyFill="1" applyBorder="1" applyAlignment="1">
      <alignment shrinkToFit="1"/>
    </xf>
    <xf numFmtId="43" fontId="3" fillId="38" borderId="22" xfId="36" applyFont="1" applyFill="1" applyBorder="1" applyAlignment="1">
      <alignment shrinkToFit="1"/>
    </xf>
    <xf numFmtId="43" fontId="3" fillId="39" borderId="22" xfId="36" applyFont="1" applyFill="1" applyBorder="1" applyAlignment="1">
      <alignment shrinkToFit="1"/>
    </xf>
    <xf numFmtId="43" fontId="3" fillId="40" borderId="22" xfId="36" applyFont="1" applyFill="1" applyBorder="1" applyAlignment="1">
      <alignment shrinkToFit="1"/>
    </xf>
    <xf numFmtId="43" fontId="3" fillId="41" borderId="22" xfId="36" applyFont="1" applyFill="1" applyBorder="1" applyAlignment="1">
      <alignment shrinkToFit="1"/>
    </xf>
    <xf numFmtId="43" fontId="3" fillId="42" borderId="22" xfId="36" applyFont="1" applyFill="1" applyBorder="1" applyAlignment="1">
      <alignment shrinkToFit="1"/>
    </xf>
    <xf numFmtId="43" fontId="3" fillId="43" borderId="22" xfId="36" applyFont="1" applyFill="1" applyBorder="1" applyAlignment="1">
      <alignment shrinkToFit="1"/>
    </xf>
    <xf numFmtId="43" fontId="3" fillId="44" borderId="22" xfId="36" applyFont="1" applyFill="1" applyBorder="1" applyAlignment="1">
      <alignment shrinkToFit="1"/>
    </xf>
    <xf numFmtId="43" fontId="3" fillId="0" borderId="0" xfId="36" applyFont="1" applyAlignment="1">
      <alignment shrinkToFit="1"/>
    </xf>
    <xf numFmtId="43" fontId="3" fillId="38" borderId="23" xfId="36" applyFont="1" applyFill="1" applyBorder="1" applyAlignment="1">
      <alignment shrinkToFit="1"/>
    </xf>
    <xf numFmtId="43" fontId="3" fillId="39" borderId="23" xfId="36" applyFont="1" applyFill="1" applyBorder="1" applyAlignment="1">
      <alignment shrinkToFit="1"/>
    </xf>
    <xf numFmtId="43" fontId="3" fillId="40" borderId="23" xfId="36" applyFont="1" applyFill="1" applyBorder="1" applyAlignment="1">
      <alignment shrinkToFit="1"/>
    </xf>
    <xf numFmtId="43" fontId="3" fillId="42" borderId="23" xfId="36" applyFont="1" applyFill="1" applyBorder="1" applyAlignment="1">
      <alignment shrinkToFit="1"/>
    </xf>
    <xf numFmtId="43" fontId="3" fillId="44" borderId="23" xfId="36" applyFont="1" applyFill="1" applyBorder="1" applyAlignment="1">
      <alignment shrinkToFit="1"/>
    </xf>
    <xf numFmtId="43" fontId="3" fillId="0" borderId="0" xfId="0" applyNumberFormat="1" applyFont="1" applyAlignment="1">
      <alignment shrinkToFit="1"/>
    </xf>
    <xf numFmtId="49" fontId="3" fillId="0" borderId="22" xfId="0" applyNumberFormat="1" applyFont="1" applyFill="1" applyBorder="1" applyAlignment="1">
      <alignment horizontal="center" shrinkToFit="1"/>
    </xf>
    <xf numFmtId="43" fontId="22" fillId="0" borderId="0" xfId="0" applyNumberFormat="1" applyFont="1" applyAlignment="1">
      <alignment shrinkToFit="1"/>
    </xf>
    <xf numFmtId="0" fontId="3" fillId="0" borderId="23" xfId="0" applyFont="1" applyFill="1" applyBorder="1" applyAlignment="1">
      <alignment horizontal="left" shrinkToFit="1"/>
    </xf>
    <xf numFmtId="43" fontId="4" fillId="37" borderId="22" xfId="36" applyFont="1" applyFill="1" applyBorder="1" applyAlignment="1">
      <alignment shrinkToFit="1"/>
    </xf>
    <xf numFmtId="49" fontId="3" fillId="0" borderId="23" xfId="0" applyNumberFormat="1" applyFont="1" applyFill="1" applyBorder="1" applyAlignment="1">
      <alignment horizontal="center" shrinkToFit="1"/>
    </xf>
    <xf numFmtId="43" fontId="3" fillId="37" borderId="23" xfId="36" applyFont="1" applyFill="1" applyBorder="1" applyAlignment="1">
      <alignment shrinkToFit="1"/>
    </xf>
    <xf numFmtId="43" fontId="3" fillId="36" borderId="23" xfId="36" applyFont="1" applyFill="1" applyBorder="1" applyAlignment="1">
      <alignment shrinkToFit="1"/>
    </xf>
    <xf numFmtId="43" fontId="3" fillId="41" borderId="23" xfId="36" applyFont="1" applyFill="1" applyBorder="1" applyAlignment="1">
      <alignment shrinkToFit="1"/>
    </xf>
    <xf numFmtId="43" fontId="20" fillId="37" borderId="23" xfId="36" applyFont="1" applyFill="1" applyBorder="1" applyAlignment="1">
      <alignment shrinkToFit="1"/>
    </xf>
    <xf numFmtId="43" fontId="20" fillId="38" borderId="23" xfId="36" applyFont="1" applyFill="1" applyBorder="1" applyAlignment="1">
      <alignment shrinkToFit="1"/>
    </xf>
    <xf numFmtId="43" fontId="87" fillId="41" borderId="22" xfId="36" applyFont="1" applyFill="1" applyBorder="1" applyAlignment="1">
      <alignment shrinkToFit="1"/>
    </xf>
    <xf numFmtId="43" fontId="20" fillId="42" borderId="23" xfId="36" applyFont="1" applyFill="1" applyBorder="1" applyAlignment="1">
      <alignment shrinkToFit="1"/>
    </xf>
    <xf numFmtId="43" fontId="81" fillId="44" borderId="23" xfId="36" applyFont="1" applyFill="1" applyBorder="1" applyAlignment="1">
      <alignment shrinkToFit="1"/>
    </xf>
    <xf numFmtId="0" fontId="20" fillId="0" borderId="0" xfId="0" applyFont="1" applyAlignment="1">
      <alignment shrinkToFit="1"/>
    </xf>
    <xf numFmtId="0" fontId="7" fillId="2" borderId="22" xfId="0" applyFont="1" applyFill="1" applyBorder="1" applyAlignment="1">
      <alignment horizontal="left" shrinkToFit="1"/>
    </xf>
    <xf numFmtId="0" fontId="3" fillId="2" borderId="22" xfId="0" applyFont="1" applyFill="1" applyBorder="1" applyAlignment="1" quotePrefix="1">
      <alignment horizontal="center" shrinkToFit="1"/>
    </xf>
    <xf numFmtId="43" fontId="3" fillId="2" borderId="22" xfId="36" applyFont="1" applyFill="1" applyBorder="1" applyAlignment="1">
      <alignment shrinkToFit="1"/>
    </xf>
    <xf numFmtId="43" fontId="20" fillId="2" borderId="23" xfId="36" applyFont="1" applyFill="1" applyBorder="1" applyAlignment="1">
      <alignment shrinkToFit="1"/>
    </xf>
    <xf numFmtId="43" fontId="3" fillId="2" borderId="23" xfId="36" applyFont="1" applyFill="1" applyBorder="1" applyAlignment="1">
      <alignment shrinkToFit="1"/>
    </xf>
    <xf numFmtId="43" fontId="20" fillId="2" borderId="0" xfId="0" applyNumberFormat="1" applyFont="1" applyFill="1" applyAlignment="1">
      <alignment shrinkToFit="1"/>
    </xf>
    <xf numFmtId="0" fontId="20" fillId="2" borderId="0" xfId="0" applyFont="1" applyFill="1" applyAlignment="1">
      <alignment shrinkToFit="1"/>
    </xf>
    <xf numFmtId="43" fontId="20" fillId="36" borderId="23" xfId="36" applyFont="1" applyFill="1" applyBorder="1" applyAlignment="1">
      <alignment shrinkToFit="1"/>
    </xf>
    <xf numFmtId="43" fontId="20" fillId="41" borderId="23" xfId="36" applyFont="1" applyFill="1" applyBorder="1" applyAlignment="1">
      <alignment shrinkToFit="1"/>
    </xf>
    <xf numFmtId="43" fontId="20" fillId="44" borderId="23" xfId="36" applyFont="1" applyFill="1" applyBorder="1" applyAlignment="1">
      <alignment shrinkToFit="1"/>
    </xf>
    <xf numFmtId="0" fontId="7" fillId="2" borderId="23" xfId="0" applyFont="1" applyFill="1" applyBorder="1" applyAlignment="1">
      <alignment horizontal="left" shrinkToFit="1"/>
    </xf>
    <xf numFmtId="0" fontId="3" fillId="2" borderId="23" xfId="0" applyFont="1" applyFill="1" applyBorder="1" applyAlignment="1">
      <alignment horizontal="center" shrinkToFit="1"/>
    </xf>
    <xf numFmtId="0" fontId="11" fillId="2" borderId="23" xfId="0" applyFont="1" applyFill="1" applyBorder="1" applyAlignment="1">
      <alignment horizontal="left" shrinkToFit="1"/>
    </xf>
    <xf numFmtId="43" fontId="20" fillId="0" borderId="0" xfId="0" applyNumberFormat="1" applyFont="1" applyAlignment="1">
      <alignment shrinkToFit="1"/>
    </xf>
    <xf numFmtId="43" fontId="87" fillId="41" borderId="23" xfId="36" applyFont="1" applyFill="1" applyBorder="1" applyAlignment="1">
      <alignment shrinkToFit="1"/>
    </xf>
    <xf numFmtId="0" fontId="23" fillId="0" borderId="41" xfId="0" applyFont="1" applyBorder="1" applyAlignment="1">
      <alignment horizontal="left" vertical="center"/>
    </xf>
    <xf numFmtId="0" fontId="3" fillId="0" borderId="24" xfId="0" applyFont="1" applyFill="1" applyBorder="1" applyAlignment="1">
      <alignment horizontal="left" shrinkToFit="1"/>
    </xf>
    <xf numFmtId="0" fontId="3" fillId="0" borderId="66" xfId="0" applyFont="1" applyFill="1" applyBorder="1" applyAlignment="1">
      <alignment horizontal="center" shrinkToFit="1"/>
    </xf>
    <xf numFmtId="43" fontId="3" fillId="37" borderId="24" xfId="36" applyFont="1" applyFill="1" applyBorder="1" applyAlignment="1">
      <alignment shrinkToFit="1"/>
    </xf>
    <xf numFmtId="43" fontId="3" fillId="38" borderId="24" xfId="36" applyFont="1" applyFill="1" applyBorder="1" applyAlignment="1">
      <alignment shrinkToFit="1"/>
    </xf>
    <xf numFmtId="43" fontId="3" fillId="40" borderId="24" xfId="36" applyFont="1" applyFill="1" applyBorder="1" applyAlignment="1">
      <alignment shrinkToFit="1"/>
    </xf>
    <xf numFmtId="43" fontId="20" fillId="41" borderId="24" xfId="36" applyFont="1" applyFill="1" applyBorder="1" applyAlignment="1">
      <alignment shrinkToFit="1"/>
    </xf>
    <xf numFmtId="43" fontId="3" fillId="42" borderId="24" xfId="36" applyFont="1" applyFill="1" applyBorder="1" applyAlignment="1">
      <alignment shrinkToFit="1"/>
    </xf>
    <xf numFmtId="43" fontId="3" fillId="43" borderId="11" xfId="36" applyFont="1" applyFill="1" applyBorder="1" applyAlignment="1">
      <alignment shrinkToFit="1"/>
    </xf>
    <xf numFmtId="0" fontId="3" fillId="0" borderId="66" xfId="0" applyFont="1" applyFill="1" applyBorder="1" applyAlignment="1" quotePrefix="1">
      <alignment horizontal="center" shrinkToFit="1"/>
    </xf>
    <xf numFmtId="43" fontId="81" fillId="36" borderId="23" xfId="36" applyFont="1" applyFill="1" applyBorder="1" applyAlignment="1">
      <alignment shrinkToFit="1"/>
    </xf>
    <xf numFmtId="43" fontId="3" fillId="41" borderId="24" xfId="36" applyFont="1" applyFill="1" applyBorder="1" applyAlignment="1">
      <alignment shrinkToFit="1"/>
    </xf>
    <xf numFmtId="43" fontId="22" fillId="43" borderId="23" xfId="36" applyFont="1" applyFill="1" applyBorder="1" applyAlignment="1">
      <alignment shrinkToFit="1"/>
    </xf>
    <xf numFmtId="43" fontId="3" fillId="44" borderId="24" xfId="36" applyFont="1" applyFill="1" applyBorder="1" applyAlignment="1">
      <alignment shrinkToFit="1"/>
    </xf>
    <xf numFmtId="43" fontId="87" fillId="0" borderId="0" xfId="0" applyNumberFormat="1" applyFont="1" applyAlignment="1">
      <alignment shrinkToFit="1"/>
    </xf>
    <xf numFmtId="0" fontId="3" fillId="0" borderId="22" xfId="0" applyFont="1" applyFill="1" applyBorder="1" applyAlignment="1">
      <alignment horizontal="center" shrinkToFit="1"/>
    </xf>
    <xf numFmtId="43" fontId="3" fillId="43" borderId="23" xfId="36" applyFont="1" applyFill="1" applyBorder="1" applyAlignment="1">
      <alignment shrinkToFit="1"/>
    </xf>
    <xf numFmtId="0" fontId="3" fillId="0" borderId="0" xfId="0" applyFont="1" applyFill="1" applyBorder="1" applyAlignment="1" quotePrefix="1">
      <alignment horizontal="center" shrinkToFit="1"/>
    </xf>
    <xf numFmtId="43" fontId="3" fillId="36" borderId="11" xfId="36" applyFont="1" applyFill="1" applyBorder="1" applyAlignment="1">
      <alignment shrinkToFit="1"/>
    </xf>
    <xf numFmtId="43" fontId="22" fillId="36" borderId="24" xfId="36" applyFont="1" applyFill="1" applyBorder="1" applyAlignment="1">
      <alignment shrinkToFit="1"/>
    </xf>
    <xf numFmtId="43" fontId="24" fillId="43" borderId="22" xfId="36" applyFont="1" applyFill="1" applyBorder="1" applyAlignment="1">
      <alignment shrinkToFit="1"/>
    </xf>
    <xf numFmtId="43" fontId="22" fillId="36" borderId="22" xfId="36" applyFont="1" applyFill="1" applyBorder="1" applyAlignment="1">
      <alignment shrinkToFit="1"/>
    </xf>
    <xf numFmtId="43" fontId="3" fillId="36" borderId="23" xfId="36" applyFont="1" applyFill="1" applyBorder="1" applyAlignment="1">
      <alignment horizontal="center" shrinkToFit="1"/>
    </xf>
    <xf numFmtId="43" fontId="22" fillId="41" borderId="23" xfId="36" applyFont="1" applyFill="1" applyBorder="1" applyAlignment="1">
      <alignment shrinkToFit="1"/>
    </xf>
    <xf numFmtId="43" fontId="22" fillId="42" borderId="23" xfId="36" applyFont="1" applyFill="1" applyBorder="1" applyAlignment="1">
      <alignment shrinkToFit="1"/>
    </xf>
    <xf numFmtId="0" fontId="22" fillId="0" borderId="0" xfId="0" applyFont="1" applyAlignment="1">
      <alignment shrinkToFit="1"/>
    </xf>
    <xf numFmtId="0" fontId="3" fillId="0" borderId="0" xfId="0" applyFont="1" applyFill="1" applyBorder="1" applyAlignment="1">
      <alignment horizontal="center" shrinkToFit="1"/>
    </xf>
    <xf numFmtId="43" fontId="81" fillId="36" borderId="22" xfId="36" applyFont="1" applyFill="1" applyBorder="1" applyAlignment="1">
      <alignment shrinkToFit="1"/>
    </xf>
    <xf numFmtId="43" fontId="22" fillId="43" borderId="22" xfId="36" applyFont="1" applyFill="1" applyBorder="1" applyAlignment="1">
      <alignment shrinkToFit="1"/>
    </xf>
    <xf numFmtId="0" fontId="3" fillId="0" borderId="67" xfId="0" applyFont="1" applyFill="1" applyBorder="1" applyAlignment="1">
      <alignment horizontal="left" shrinkToFit="1"/>
    </xf>
    <xf numFmtId="0" fontId="3" fillId="0" borderId="61" xfId="0" applyFont="1" applyFill="1" applyBorder="1" applyAlignment="1">
      <alignment horizontal="center" shrinkToFit="1"/>
    </xf>
    <xf numFmtId="43" fontId="22" fillId="36" borderId="11" xfId="36" applyFont="1" applyFill="1" applyBorder="1" applyAlignment="1">
      <alignment shrinkToFit="1"/>
    </xf>
    <xf numFmtId="43" fontId="3" fillId="36" borderId="11" xfId="36" applyFont="1" applyFill="1" applyBorder="1" applyAlignment="1">
      <alignment horizontal="center" shrinkToFit="1"/>
    </xf>
    <xf numFmtId="43" fontId="3" fillId="37" borderId="11" xfId="36" applyFont="1" applyFill="1" applyBorder="1" applyAlignment="1">
      <alignment shrinkToFit="1"/>
    </xf>
    <xf numFmtId="43" fontId="3" fillId="40" borderId="11" xfId="36" applyFont="1" applyFill="1" applyBorder="1" applyAlignment="1">
      <alignment shrinkToFit="1"/>
    </xf>
    <xf numFmtId="43" fontId="22" fillId="41" borderId="11" xfId="36" applyFont="1" applyFill="1" applyBorder="1" applyAlignment="1">
      <alignment shrinkToFit="1"/>
    </xf>
    <xf numFmtId="43" fontId="22" fillId="42" borderId="11" xfId="36" applyFont="1" applyFill="1" applyBorder="1" applyAlignment="1">
      <alignment shrinkToFit="1"/>
    </xf>
    <xf numFmtId="43" fontId="22" fillId="43" borderId="11" xfId="36" applyFont="1" applyFill="1" applyBorder="1" applyAlignment="1">
      <alignment shrinkToFit="1"/>
    </xf>
    <xf numFmtId="43" fontId="3" fillId="44" borderId="11" xfId="36" applyFont="1" applyFill="1" applyBorder="1" applyAlignment="1">
      <alignment shrinkToFit="1"/>
    </xf>
    <xf numFmtId="0" fontId="4" fillId="0" borderId="15" xfId="0" applyFont="1" applyFill="1" applyBorder="1" applyAlignment="1">
      <alignment horizontal="left" shrinkToFit="1"/>
    </xf>
    <xf numFmtId="43" fontId="25" fillId="44" borderId="16" xfId="36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left" shrinkToFit="1"/>
    </xf>
    <xf numFmtId="0" fontId="4" fillId="0" borderId="0" xfId="0" applyFont="1" applyFill="1" applyBorder="1" applyAlignment="1">
      <alignment horizontal="center" shrinkToFit="1"/>
    </xf>
    <xf numFmtId="43" fontId="25" fillId="45" borderId="0" xfId="36" applyFont="1" applyFill="1" applyBorder="1" applyAlignment="1">
      <alignment horizontal="center" shrinkToFit="1"/>
    </xf>
    <xf numFmtId="43" fontId="25" fillId="36" borderId="0" xfId="36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shrinkToFit="1"/>
    </xf>
    <xf numFmtId="43" fontId="3" fillId="38" borderId="0" xfId="36" applyFont="1" applyFill="1" applyAlignment="1">
      <alignment shrinkToFit="1"/>
    </xf>
    <xf numFmtId="43" fontId="3" fillId="39" borderId="0" xfId="36" applyFont="1" applyFill="1" applyAlignment="1">
      <alignment shrinkToFit="1"/>
    </xf>
    <xf numFmtId="43" fontId="3" fillId="40" borderId="0" xfId="36" applyFont="1" applyFill="1" applyAlignment="1">
      <alignment shrinkToFit="1"/>
    </xf>
    <xf numFmtId="43" fontId="3" fillId="41" borderId="0" xfId="36" applyFont="1" applyFill="1" applyAlignment="1">
      <alignment shrinkToFit="1"/>
    </xf>
    <xf numFmtId="43" fontId="3" fillId="42" borderId="0" xfId="36" applyFont="1" applyFill="1" applyAlignment="1">
      <alignment shrinkToFit="1"/>
    </xf>
    <xf numFmtId="43" fontId="3" fillId="43" borderId="0" xfId="36" applyFont="1" applyFill="1" applyAlignment="1">
      <alignment shrinkToFit="1"/>
    </xf>
    <xf numFmtId="43" fontId="3" fillId="44" borderId="0" xfId="36" applyFont="1" applyFill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43" fontId="3" fillId="45" borderId="0" xfId="36" applyFont="1" applyFill="1" applyBorder="1" applyAlignment="1">
      <alignment horizontal="left" shrinkToFit="1"/>
    </xf>
    <xf numFmtId="0" fontId="3" fillId="36" borderId="0" xfId="0" applyFont="1" applyFill="1" applyBorder="1" applyAlignment="1">
      <alignment horizontal="left" shrinkToFit="1"/>
    </xf>
    <xf numFmtId="43" fontId="3" fillId="37" borderId="0" xfId="36" applyFont="1" applyFill="1" applyBorder="1" applyAlignment="1">
      <alignment horizontal="left" shrinkToFit="1"/>
    </xf>
    <xf numFmtId="0" fontId="3" fillId="36" borderId="0" xfId="0" applyFont="1" applyFill="1" applyAlignment="1">
      <alignment shrinkToFit="1"/>
    </xf>
    <xf numFmtId="43" fontId="3" fillId="37" borderId="0" xfId="36" applyFont="1" applyFill="1" applyAlignment="1">
      <alignment shrinkToFit="1"/>
    </xf>
    <xf numFmtId="0" fontId="3" fillId="0" borderId="0" xfId="0" applyFont="1" applyAlignment="1">
      <alignment horizontal="right" shrinkToFit="1"/>
    </xf>
    <xf numFmtId="0" fontId="3" fillId="45" borderId="0" xfId="0" applyFont="1" applyFill="1" applyAlignment="1">
      <alignment shrinkToFit="1"/>
    </xf>
    <xf numFmtId="0" fontId="3" fillId="36" borderId="0" xfId="0" applyFont="1" applyFill="1" applyBorder="1" applyAlignment="1">
      <alignment horizontal="center" shrinkToFit="1"/>
    </xf>
    <xf numFmtId="43" fontId="3" fillId="37" borderId="0" xfId="36" applyFont="1" applyFill="1" applyBorder="1" applyAlignment="1">
      <alignment horizontal="center" shrinkToFi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 quotePrefix="1">
      <alignment horizontal="center" vertical="center"/>
    </xf>
    <xf numFmtId="43" fontId="3" fillId="0" borderId="68" xfId="36" applyFont="1" applyFill="1" applyBorder="1" applyAlignment="1">
      <alignment vertical="center"/>
    </xf>
    <xf numFmtId="43" fontId="3" fillId="0" borderId="23" xfId="36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3" fontId="3" fillId="0" borderId="22" xfId="36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43" fontId="3" fillId="35" borderId="22" xfId="36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43" fontId="3" fillId="0" borderId="23" xfId="36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3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3" fontId="4" fillId="0" borderId="15" xfId="36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3" fontId="5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3" fontId="3" fillId="0" borderId="11" xfId="36" applyFont="1" applyBorder="1" applyAlignment="1">
      <alignment vertical="center"/>
    </xf>
    <xf numFmtId="43" fontId="3" fillId="33" borderId="11" xfId="36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43" fontId="4" fillId="0" borderId="52" xfId="36" applyFont="1" applyBorder="1" applyAlignment="1">
      <alignment vertical="center"/>
    </xf>
    <xf numFmtId="43" fontId="4" fillId="33" borderId="52" xfId="36" applyFont="1" applyFill="1" applyBorder="1" applyAlignment="1">
      <alignment vertical="center"/>
    </xf>
    <xf numFmtId="43" fontId="3" fillId="0" borderId="11" xfId="36" applyFont="1" applyBorder="1" applyAlignment="1">
      <alignment horizontal="right" vertical="center"/>
    </xf>
    <xf numFmtId="43" fontId="3" fillId="33" borderId="11" xfId="36" applyFont="1" applyFill="1" applyBorder="1" applyAlignment="1">
      <alignment horizontal="right" vertical="center"/>
    </xf>
    <xf numFmtId="43" fontId="3" fillId="0" borderId="11" xfId="36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91" fontId="3" fillId="0" borderId="10" xfId="36" applyNumberFormat="1" applyFont="1" applyBorder="1" applyAlignment="1">
      <alignment vertical="center"/>
    </xf>
    <xf numFmtId="191" fontId="3" fillId="33" borderId="10" xfId="36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3" fontId="7" fillId="0" borderId="0" xfId="0" applyNumberFormat="1" applyFont="1" applyAlignment="1">
      <alignment vertical="center"/>
    </xf>
    <xf numFmtId="43" fontId="7" fillId="0" borderId="0" xfId="36" applyFont="1" applyAlignment="1">
      <alignment vertical="center"/>
    </xf>
    <xf numFmtId="43" fontId="7" fillId="0" borderId="0" xfId="0" applyNumberFormat="1" applyFont="1" applyFill="1" applyAlignment="1">
      <alignment vertical="center"/>
    </xf>
    <xf numFmtId="0" fontId="4" fillId="0" borderId="6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center" vertical="center"/>
    </xf>
    <xf numFmtId="43" fontId="3" fillId="0" borderId="22" xfId="36" applyFont="1" applyBorder="1" applyAlignment="1">
      <alignment vertical="center"/>
    </xf>
    <xf numFmtId="43" fontId="3" fillId="0" borderId="22" xfId="36" applyNumberFormat="1" applyFont="1" applyBorder="1" applyAlignment="1">
      <alignment vertical="center"/>
    </xf>
    <xf numFmtId="0" fontId="3" fillId="0" borderId="72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43" fontId="3" fillId="0" borderId="23" xfId="36" applyNumberFormat="1" applyFont="1" applyBorder="1" applyAlignment="1">
      <alignment vertical="center"/>
    </xf>
    <xf numFmtId="0" fontId="7" fillId="0" borderId="7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/>
    </xf>
    <xf numFmtId="43" fontId="3" fillId="0" borderId="24" xfId="36" applyFont="1" applyBorder="1" applyAlignment="1">
      <alignment vertical="center"/>
    </xf>
    <xf numFmtId="0" fontId="7" fillId="0" borderId="72" xfId="0" applyFont="1" applyBorder="1" applyAlignment="1">
      <alignment horizontal="left" vertical="center" shrinkToFit="1"/>
    </xf>
    <xf numFmtId="0" fontId="3" fillId="0" borderId="32" xfId="0" applyFont="1" applyBorder="1" applyAlignment="1">
      <alignment/>
    </xf>
    <xf numFmtId="43" fontId="3" fillId="0" borderId="24" xfId="36" applyNumberFormat="1" applyFont="1" applyBorder="1" applyAlignment="1">
      <alignment vertical="center"/>
    </xf>
    <xf numFmtId="0" fontId="3" fillId="0" borderId="72" xfId="0" applyFont="1" applyBorder="1" applyAlignment="1">
      <alignment/>
    </xf>
    <xf numFmtId="43" fontId="4" fillId="0" borderId="28" xfId="36" applyFont="1" applyBorder="1" applyAlignment="1">
      <alignment vertical="center"/>
    </xf>
    <xf numFmtId="43" fontId="7" fillId="0" borderId="0" xfId="36" applyFont="1" applyAlignment="1">
      <alignment/>
    </xf>
    <xf numFmtId="0" fontId="7" fillId="0" borderId="0" xfId="0" applyFont="1" applyBorder="1" applyAlignment="1">
      <alignment/>
    </xf>
    <xf numFmtId="43" fontId="7" fillId="0" borderId="0" xfId="36" applyFont="1" applyBorder="1" applyAlignment="1">
      <alignment/>
    </xf>
    <xf numFmtId="0" fontId="4" fillId="0" borderId="29" xfId="0" applyFont="1" applyBorder="1" applyAlignment="1">
      <alignment vertical="center"/>
    </xf>
    <xf numFmtId="0" fontId="3" fillId="0" borderId="74" xfId="0" applyFont="1" applyBorder="1" applyAlignment="1">
      <alignment horizontal="right" vertical="center"/>
    </xf>
    <xf numFmtId="0" fontId="3" fillId="0" borderId="74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3" fontId="4" fillId="0" borderId="50" xfId="36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63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 vertical="center"/>
    </xf>
    <xf numFmtId="192" fontId="3" fillId="0" borderId="31" xfId="0" applyNumberFormat="1" applyFont="1" applyBorder="1" applyAlignment="1">
      <alignment horizontal="center" vertical="center"/>
    </xf>
    <xf numFmtId="192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vertical="center"/>
    </xf>
    <xf numFmtId="49" fontId="3" fillId="0" borderId="31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 quotePrefix="1">
      <alignment horizontal="center" vertical="center"/>
    </xf>
    <xf numFmtId="189" fontId="3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43" fontId="3" fillId="0" borderId="0" xfId="36" applyFont="1" applyBorder="1" applyAlignment="1">
      <alignment horizontal="right" vertical="center"/>
    </xf>
    <xf numFmtId="43" fontId="3" fillId="0" borderId="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7" fillId="0" borderId="3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3" fontId="3" fillId="0" borderId="75" xfId="36" applyFont="1" applyBorder="1" applyAlignment="1">
      <alignment vertical="center"/>
    </xf>
    <xf numFmtId="49" fontId="3" fillId="0" borderId="31" xfId="0" applyNumberFormat="1" applyFont="1" applyBorder="1" applyAlignment="1">
      <alignment horizontal="left" vertical="center"/>
    </xf>
    <xf numFmtId="43" fontId="4" fillId="0" borderId="76" xfId="36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43" fontId="4" fillId="0" borderId="34" xfId="36" applyFont="1" applyBorder="1" applyAlignment="1">
      <alignment vertical="center"/>
    </xf>
    <xf numFmtId="0" fontId="3" fillId="0" borderId="63" xfId="0" applyFont="1" applyBorder="1" applyAlignment="1">
      <alignment horizontal="right" vertical="center"/>
    </xf>
    <xf numFmtId="0" fontId="3" fillId="0" borderId="31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0" borderId="31" xfId="0" applyFont="1" applyBorder="1" applyAlignment="1">
      <alignment vertical="center"/>
    </xf>
    <xf numFmtId="0" fontId="4" fillId="0" borderId="63" xfId="0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center" vertical="center"/>
    </xf>
    <xf numFmtId="43" fontId="4" fillId="0" borderId="75" xfId="36" applyFont="1" applyBorder="1" applyAlignment="1">
      <alignment vertical="center"/>
    </xf>
    <xf numFmtId="0" fontId="4" fillId="0" borderId="34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43" fontId="4" fillId="0" borderId="50" xfId="36" applyFont="1" applyBorder="1" applyAlignment="1">
      <alignment horizontal="right" vertical="center"/>
    </xf>
    <xf numFmtId="192" fontId="3" fillId="0" borderId="31" xfId="0" applyNumberFormat="1" applyFont="1" applyBorder="1" applyAlignment="1" quotePrefix="1">
      <alignment horizontal="center" vertical="center"/>
    </xf>
    <xf numFmtId="192" fontId="3" fillId="0" borderId="0" xfId="0" applyNumberFormat="1" applyFont="1" applyBorder="1" applyAlignment="1" quotePrefix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3" fontId="3" fillId="0" borderId="0" xfId="0" applyNumberFormat="1" applyFont="1" applyBorder="1" applyAlignment="1">
      <alignment horizontal="center" vertical="center"/>
    </xf>
    <xf numFmtId="43" fontId="7" fillId="0" borderId="0" xfId="36" applyFont="1" applyBorder="1" applyAlignment="1">
      <alignment horizontal="right" vertical="center"/>
    </xf>
    <xf numFmtId="43" fontId="3" fillId="0" borderId="31" xfId="0" applyNumberFormat="1" applyFont="1" applyBorder="1" applyAlignment="1">
      <alignment horizontal="right" vertical="center"/>
    </xf>
    <xf numFmtId="43" fontId="3" fillId="0" borderId="31" xfId="0" applyNumberFormat="1" applyFont="1" applyBorder="1" applyAlignment="1">
      <alignment vertical="center"/>
    </xf>
    <xf numFmtId="189" fontId="3" fillId="0" borderId="31" xfId="0" applyNumberFormat="1" applyFont="1" applyBorder="1" applyAlignment="1">
      <alignment vertical="center"/>
    </xf>
    <xf numFmtId="43" fontId="4" fillId="0" borderId="31" xfId="36" applyFont="1" applyBorder="1" applyAlignment="1">
      <alignment vertical="center"/>
    </xf>
    <xf numFmtId="43" fontId="4" fillId="0" borderId="77" xfId="36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6" fillId="33" borderId="0" xfId="36" applyFont="1" applyFill="1" applyBorder="1" applyAlignment="1">
      <alignment vertical="center"/>
    </xf>
    <xf numFmtId="43" fontId="6" fillId="0" borderId="0" xfId="36" applyFont="1" applyBorder="1" applyAlignment="1">
      <alignment vertical="center"/>
    </xf>
    <xf numFmtId="0" fontId="3" fillId="0" borderId="73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" fontId="3" fillId="0" borderId="0" xfId="0" applyNumberFormat="1" applyFont="1" applyFill="1" applyBorder="1" applyAlignment="1">
      <alignment vertical="center"/>
    </xf>
    <xf numFmtId="0" fontId="81" fillId="0" borderId="31" xfId="0" applyFont="1" applyBorder="1" applyAlignment="1">
      <alignment vertical="center"/>
    </xf>
    <xf numFmtId="0" fontId="81" fillId="0" borderId="0" xfId="0" applyFont="1" applyFill="1" applyBorder="1" applyAlignment="1">
      <alignment vertical="center"/>
    </xf>
    <xf numFmtId="43" fontId="81" fillId="0" borderId="0" xfId="36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43" fontId="81" fillId="0" borderId="63" xfId="36" applyFont="1" applyBorder="1" applyAlignment="1">
      <alignment vertical="center"/>
    </xf>
    <xf numFmtId="0" fontId="81" fillId="0" borderId="31" xfId="0" applyFont="1" applyBorder="1" applyAlignment="1">
      <alignment horizontal="right" vertical="center"/>
    </xf>
    <xf numFmtId="43" fontId="81" fillId="0" borderId="0" xfId="36" applyFont="1" applyFill="1" applyBorder="1" applyAlignment="1">
      <alignment horizontal="center" vertical="center"/>
    </xf>
    <xf numFmtId="43" fontId="81" fillId="0" borderId="0" xfId="36" applyFont="1" applyFill="1" applyBorder="1" applyAlignment="1">
      <alignment vertical="center"/>
    </xf>
    <xf numFmtId="0" fontId="81" fillId="0" borderId="0" xfId="0" applyFont="1" applyFill="1" applyBorder="1" applyAlignment="1">
      <alignment horizontal="right" vertical="center"/>
    </xf>
    <xf numFmtId="0" fontId="8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" fontId="3" fillId="0" borderId="0" xfId="0" applyNumberFormat="1" applyFont="1" applyFill="1" applyBorder="1" applyAlignment="1" quotePrefix="1">
      <alignment vertical="center"/>
    </xf>
    <xf numFmtId="43" fontId="27" fillId="0" borderId="23" xfId="36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27" fillId="44" borderId="0" xfId="0" applyFont="1" applyFill="1" applyAlignment="1">
      <alignment vertical="center"/>
    </xf>
    <xf numFmtId="0" fontId="27" fillId="34" borderId="0" xfId="0" applyFont="1" applyFill="1" applyAlignment="1">
      <alignment vertical="center"/>
    </xf>
    <xf numFmtId="43" fontId="3" fillId="0" borderId="78" xfId="36" applyFont="1" applyBorder="1" applyAlignment="1">
      <alignment vertical="center"/>
    </xf>
    <xf numFmtId="43" fontId="3" fillId="0" borderId="34" xfId="36" applyFont="1" applyBorder="1" applyAlignment="1">
      <alignment vertical="center"/>
    </xf>
    <xf numFmtId="43" fontId="3" fillId="0" borderId="17" xfId="36" applyFont="1" applyBorder="1" applyAlignment="1">
      <alignment vertical="center"/>
    </xf>
    <xf numFmtId="0" fontId="29" fillId="0" borderId="0" xfId="0" applyFont="1" applyAlignment="1">
      <alignment/>
    </xf>
    <xf numFmtId="0" fontId="28" fillId="0" borderId="0" xfId="0" applyFont="1" applyBorder="1" applyAlignment="1">
      <alignment/>
    </xf>
    <xf numFmtId="43" fontId="29" fillId="0" borderId="0" xfId="36" applyFont="1" applyAlignment="1">
      <alignment/>
    </xf>
    <xf numFmtId="0" fontId="28" fillId="0" borderId="0" xfId="0" applyFont="1" applyBorder="1" applyAlignment="1">
      <alignment horizontal="right"/>
    </xf>
    <xf numFmtId="43" fontId="28" fillId="0" borderId="15" xfId="36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27" fillId="0" borderId="24" xfId="0" applyFont="1" applyBorder="1" applyAlignment="1">
      <alignment vertical="justify" wrapText="1"/>
    </xf>
    <xf numFmtId="43" fontId="27" fillId="0" borderId="24" xfId="36" applyFont="1" applyBorder="1" applyAlignment="1">
      <alignment horizontal="center" vertical="center"/>
    </xf>
    <xf numFmtId="43" fontId="27" fillId="0" borderId="24" xfId="36" applyFont="1" applyBorder="1" applyAlignment="1">
      <alignment horizontal="center" vertical="center"/>
    </xf>
    <xf numFmtId="43" fontId="27" fillId="0" borderId="23" xfId="36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 wrapText="1" shrinkToFit="1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left" vertical="justify" wrapText="1"/>
    </xf>
    <xf numFmtId="43" fontId="27" fillId="0" borderId="23" xfId="36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wrapText="1" shrinkToFit="1"/>
    </xf>
    <xf numFmtId="0" fontId="27" fillId="0" borderId="23" xfId="0" applyFont="1" applyBorder="1" applyAlignment="1">
      <alignment vertical="justify" wrapText="1"/>
    </xf>
    <xf numFmtId="0" fontId="30" fillId="0" borderId="23" xfId="0" applyFont="1" applyBorder="1" applyAlignment="1">
      <alignment vertical="justify" wrapText="1"/>
    </xf>
    <xf numFmtId="0" fontId="27" fillId="0" borderId="23" xfId="0" applyFont="1" applyBorder="1" applyAlignment="1">
      <alignment vertical="center"/>
    </xf>
    <xf numFmtId="0" fontId="27" fillId="0" borderId="18" xfId="0" applyFont="1" applyBorder="1" applyAlignment="1">
      <alignment/>
    </xf>
    <xf numFmtId="0" fontId="28" fillId="0" borderId="25" xfId="0" applyFont="1" applyBorder="1" applyAlignment="1">
      <alignment horizontal="right"/>
    </xf>
    <xf numFmtId="43" fontId="28" fillId="0" borderId="15" xfId="36" applyFont="1" applyBorder="1" applyAlignment="1">
      <alignment shrinkToFit="1"/>
    </xf>
    <xf numFmtId="0" fontId="27" fillId="0" borderId="15" xfId="0" applyFont="1" applyBorder="1" applyAlignment="1">
      <alignment/>
    </xf>
    <xf numFmtId="0" fontId="27" fillId="0" borderId="24" xfId="0" applyFont="1" applyBorder="1" applyAlignment="1">
      <alignment vertical="center"/>
    </xf>
    <xf numFmtId="43" fontId="27" fillId="0" borderId="24" xfId="36" applyFont="1" applyBorder="1" applyAlignment="1">
      <alignment vertical="center"/>
    </xf>
    <xf numFmtId="49" fontId="81" fillId="0" borderId="0" xfId="0" applyNumberFormat="1" applyFont="1" applyBorder="1" applyAlignment="1" quotePrefix="1">
      <alignment horizontal="center" vertical="center"/>
    </xf>
    <xf numFmtId="189" fontId="81" fillId="0" borderId="0" xfId="0" applyNumberFormat="1" applyFont="1" applyBorder="1" applyAlignment="1">
      <alignment horizontal="right" vertical="center"/>
    </xf>
    <xf numFmtId="43" fontId="81" fillId="0" borderId="40" xfId="36" applyFont="1" applyBorder="1" applyAlignment="1">
      <alignment vertical="center"/>
    </xf>
    <xf numFmtId="43" fontId="81" fillId="0" borderId="44" xfId="36" applyFont="1" applyBorder="1" applyAlignment="1">
      <alignment vertical="center"/>
    </xf>
    <xf numFmtId="43" fontId="81" fillId="35" borderId="44" xfId="36" applyFont="1" applyFill="1" applyBorder="1" applyAlignment="1">
      <alignment vertical="center"/>
    </xf>
    <xf numFmtId="43" fontId="7" fillId="0" borderId="0" xfId="0" applyNumberFormat="1" applyFont="1" applyBorder="1" applyAlignment="1">
      <alignment/>
    </xf>
    <xf numFmtId="43" fontId="27" fillId="0" borderId="0" xfId="0" applyNumberFormat="1" applyFont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5" fillId="0" borderId="51" xfId="0" applyFont="1" applyBorder="1" applyAlignment="1">
      <alignment horizontal="center" vertical="center"/>
    </xf>
    <xf numFmtId="49" fontId="81" fillId="0" borderId="79" xfId="0" applyNumberFormat="1" applyFont="1" applyBorder="1" applyAlignment="1">
      <alignment horizontal="center"/>
    </xf>
    <xf numFmtId="49" fontId="81" fillId="0" borderId="23" xfId="0" applyNumberFormat="1" applyFont="1" applyBorder="1" applyAlignment="1">
      <alignment horizontal="center"/>
    </xf>
    <xf numFmtId="0" fontId="81" fillId="0" borderId="61" xfId="0" applyFont="1" applyBorder="1" applyAlignment="1" quotePrefix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34" xfId="0" applyFont="1" applyBorder="1" applyAlignment="1">
      <alignment horizontal="center" vertical="center"/>
    </xf>
    <xf numFmtId="0" fontId="81" fillId="0" borderId="0" xfId="0" applyFont="1" applyBorder="1" applyAlignment="1" quotePrefix="1">
      <alignment horizontal="center" vertical="center"/>
    </xf>
    <xf numFmtId="43" fontId="85" fillId="0" borderId="34" xfId="0" applyNumberFormat="1" applyFont="1" applyBorder="1" applyAlignment="1">
      <alignment horizontal="center" vertical="center"/>
    </xf>
    <xf numFmtId="49" fontId="81" fillId="0" borderId="24" xfId="0" applyNumberFormat="1" applyFont="1" applyBorder="1" applyAlignment="1">
      <alignment horizontal="center"/>
    </xf>
    <xf numFmtId="0" fontId="81" fillId="0" borderId="5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shrinkToFit="1"/>
    </xf>
    <xf numFmtId="49" fontId="81" fillId="0" borderId="23" xfId="0" applyNumberFormat="1" applyFont="1" applyBorder="1" applyAlignment="1" quotePrefix="1">
      <alignment horizontal="center"/>
    </xf>
    <xf numFmtId="49" fontId="81" fillId="0" borderId="22" xfId="0" applyNumberFormat="1" applyFont="1" applyBorder="1" applyAlignment="1">
      <alignment horizontal="center"/>
    </xf>
    <xf numFmtId="0" fontId="3" fillId="0" borderId="50" xfId="0" applyFont="1" applyFill="1" applyBorder="1" applyAlignment="1">
      <alignment vertical="center"/>
    </xf>
    <xf numFmtId="43" fontId="3" fillId="0" borderId="0" xfId="36" applyFont="1" applyBorder="1" applyAlignment="1">
      <alignment horizontal="center" vertical="center"/>
    </xf>
    <xf numFmtId="0" fontId="3" fillId="0" borderId="46" xfId="0" applyFont="1" applyBorder="1" applyAlignment="1">
      <alignment vertical="center"/>
    </xf>
    <xf numFmtId="49" fontId="81" fillId="0" borderId="46" xfId="0" applyNumberFormat="1" applyFont="1" applyBorder="1" applyAlignment="1">
      <alignment horizontal="center" vertical="center"/>
    </xf>
    <xf numFmtId="43" fontId="3" fillId="0" borderId="79" xfId="36" applyFont="1" applyFill="1" applyBorder="1" applyAlignment="1">
      <alignment vertical="center"/>
    </xf>
    <xf numFmtId="43" fontId="3" fillId="0" borderId="56" xfId="36" applyFont="1" applyBorder="1" applyAlignment="1">
      <alignment vertical="center"/>
    </xf>
    <xf numFmtId="0" fontId="81" fillId="0" borderId="23" xfId="0" applyFont="1" applyFill="1" applyBorder="1" applyAlignment="1">
      <alignment horizontal="center" shrinkToFit="1"/>
    </xf>
    <xf numFmtId="43" fontId="3" fillId="0" borderId="46" xfId="36" applyFont="1" applyBorder="1" applyAlignment="1">
      <alignment vertical="center"/>
    </xf>
    <xf numFmtId="0" fontId="81" fillId="0" borderId="46" xfId="0" applyFont="1" applyBorder="1" applyAlignment="1" quotePrefix="1">
      <alignment horizontal="center" vertical="center"/>
    </xf>
    <xf numFmtId="0" fontId="81" fillId="0" borderId="46" xfId="0" applyFont="1" applyBorder="1" applyAlignment="1">
      <alignment horizontal="center" vertical="center"/>
    </xf>
    <xf numFmtId="0" fontId="20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/>
    </xf>
    <xf numFmtId="43" fontId="20" fillId="0" borderId="46" xfId="36" applyFont="1" applyBorder="1" applyAlignment="1">
      <alignment vertical="center"/>
    </xf>
    <xf numFmtId="43" fontId="20" fillId="0" borderId="23" xfId="36" applyFont="1" applyBorder="1" applyAlignment="1">
      <alignment vertical="center"/>
    </xf>
    <xf numFmtId="43" fontId="20" fillId="0" borderId="24" xfId="36" applyFont="1" applyBorder="1" applyAlignment="1">
      <alignment vertical="center"/>
    </xf>
    <xf numFmtId="43" fontId="3" fillId="0" borderId="65" xfId="36" applyFont="1" applyBorder="1" applyAlignment="1">
      <alignment vertical="center"/>
    </xf>
    <xf numFmtId="43" fontId="81" fillId="0" borderId="0" xfId="36" applyFont="1" applyBorder="1" applyAlignment="1">
      <alignment horizontal="center" vertical="center"/>
    </xf>
    <xf numFmtId="43" fontId="81" fillId="0" borderId="0" xfId="36" applyFont="1" applyBorder="1" applyAlignment="1" quotePrefix="1">
      <alignment horizontal="center" vertical="center"/>
    </xf>
    <xf numFmtId="43" fontId="3" fillId="0" borderId="63" xfId="0" applyNumberFormat="1" applyFont="1" applyBorder="1" applyAlignment="1">
      <alignment vertical="center"/>
    </xf>
    <xf numFmtId="0" fontId="3" fillId="0" borderId="76" xfId="0" applyFont="1" applyFill="1" applyBorder="1" applyAlignment="1">
      <alignment horizontal="center" vertical="center"/>
    </xf>
    <xf numFmtId="43" fontId="3" fillId="0" borderId="76" xfId="36" applyFont="1" applyFill="1" applyBorder="1" applyAlignment="1">
      <alignment horizontal="center" vertical="center"/>
    </xf>
    <xf numFmtId="43" fontId="3" fillId="0" borderId="76" xfId="36" applyFont="1" applyBorder="1" applyAlignment="1">
      <alignment vertical="center"/>
    </xf>
    <xf numFmtId="43" fontId="81" fillId="0" borderId="76" xfId="36" applyFont="1" applyBorder="1" applyAlignment="1">
      <alignment vertical="center"/>
    </xf>
    <xf numFmtId="43" fontId="3" fillId="0" borderId="49" xfId="36" applyFont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43" fontId="3" fillId="0" borderId="34" xfId="36" applyFont="1" applyFill="1" applyBorder="1" applyAlignment="1">
      <alignment horizontal="center" vertical="center"/>
    </xf>
    <xf numFmtId="43" fontId="81" fillId="0" borderId="34" xfId="36" applyFont="1" applyBorder="1" applyAlignment="1">
      <alignment vertical="center"/>
    </xf>
    <xf numFmtId="49" fontId="3" fillId="0" borderId="54" xfId="0" applyNumberFormat="1" applyFont="1" applyBorder="1" applyAlignment="1">
      <alignment horizontal="center" vertical="center"/>
    </xf>
    <xf numFmtId="188" fontId="81" fillId="0" borderId="79" xfId="36" applyNumberFormat="1" applyFont="1" applyFill="1" applyBorder="1" applyAlignment="1" quotePrefix="1">
      <alignment horizontal="center" vertical="center"/>
    </xf>
    <xf numFmtId="43" fontId="3" fillId="0" borderId="80" xfId="36" applyFont="1" applyFill="1" applyBorder="1" applyAlignment="1">
      <alignment vertical="center"/>
    </xf>
    <xf numFmtId="0" fontId="3" fillId="34" borderId="81" xfId="0" applyFont="1" applyFill="1" applyBorder="1" applyAlignment="1">
      <alignment vertical="center"/>
    </xf>
    <xf numFmtId="188" fontId="81" fillId="0" borderId="23" xfId="36" applyNumberFormat="1" applyFont="1" applyFill="1" applyBorder="1" applyAlignment="1" quotePrefix="1">
      <alignment horizontal="center" vertical="center"/>
    </xf>
    <xf numFmtId="43" fontId="3" fillId="0" borderId="66" xfId="36" applyFont="1" applyFill="1" applyBorder="1" applyAlignment="1">
      <alignment vertical="center"/>
    </xf>
    <xf numFmtId="0" fontId="3" fillId="0" borderId="56" xfId="0" applyFont="1" applyBorder="1" applyAlignment="1">
      <alignment vertical="center"/>
    </xf>
    <xf numFmtId="43" fontId="81" fillId="0" borderId="34" xfId="36" applyFont="1" applyBorder="1" applyAlignment="1">
      <alignment horizontal="center" vertical="center"/>
    </xf>
    <xf numFmtId="43" fontId="3" fillId="0" borderId="64" xfId="0" applyNumberFormat="1" applyFont="1" applyBorder="1" applyAlignment="1">
      <alignment vertical="center"/>
    </xf>
    <xf numFmtId="0" fontId="3" fillId="0" borderId="66" xfId="0" applyFont="1" applyFill="1" applyBorder="1" applyAlignment="1">
      <alignment horizontal="left" vertical="center"/>
    </xf>
    <xf numFmtId="0" fontId="81" fillId="0" borderId="41" xfId="0" applyFont="1" applyBorder="1" applyAlignment="1">
      <alignment vertical="center"/>
    </xf>
    <xf numFmtId="0" fontId="81" fillId="0" borderId="42" xfId="0" applyFont="1" applyBorder="1" applyAlignment="1">
      <alignment vertical="center"/>
    </xf>
    <xf numFmtId="0" fontId="81" fillId="0" borderId="57" xfId="0" applyFont="1" applyBorder="1" applyAlignment="1">
      <alignment vertical="center"/>
    </xf>
    <xf numFmtId="0" fontId="81" fillId="0" borderId="58" xfId="0" applyFont="1" applyBorder="1" applyAlignment="1">
      <alignment vertical="center"/>
    </xf>
    <xf numFmtId="43" fontId="20" fillId="0" borderId="82" xfId="36" applyFont="1" applyBorder="1" applyAlignment="1">
      <alignment vertical="center"/>
    </xf>
    <xf numFmtId="43" fontId="20" fillId="0" borderId="11" xfId="36" applyFont="1" applyBorder="1" applyAlignment="1">
      <alignment vertical="center"/>
    </xf>
    <xf numFmtId="43" fontId="3" fillId="0" borderId="83" xfId="36" applyFont="1" applyBorder="1" applyAlignment="1">
      <alignment vertical="center"/>
    </xf>
    <xf numFmtId="0" fontId="20" fillId="0" borderId="58" xfId="0" applyFont="1" applyBorder="1" applyAlignment="1">
      <alignment vertical="center"/>
    </xf>
    <xf numFmtId="0" fontId="81" fillId="0" borderId="23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3" fillId="0" borderId="34" xfId="0" applyFont="1" applyFill="1" applyBorder="1" applyAlignment="1" quotePrefix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indent="6"/>
    </xf>
    <xf numFmtId="49" fontId="12" fillId="0" borderId="0" xfId="0" applyNumberFormat="1" applyFont="1" applyBorder="1" applyAlignment="1">
      <alignment horizontal="center" vertical="center"/>
    </xf>
    <xf numFmtId="43" fontId="12" fillId="0" borderId="0" xfId="36" applyFont="1" applyBorder="1" applyAlignment="1">
      <alignment horizontal="center" vertical="center"/>
    </xf>
    <xf numFmtId="43" fontId="12" fillId="0" borderId="17" xfId="36" applyFont="1" applyBorder="1" applyAlignment="1">
      <alignment horizontal="center" vertical="center"/>
    </xf>
    <xf numFmtId="43" fontId="12" fillId="0" borderId="63" xfId="36" applyFont="1" applyBorder="1" applyAlignment="1">
      <alignment vertical="center"/>
    </xf>
    <xf numFmtId="43" fontId="12" fillId="0" borderId="63" xfId="36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43" fontId="81" fillId="0" borderId="23" xfId="36" applyFont="1" applyBorder="1" applyAlignment="1">
      <alignment vertical="center"/>
    </xf>
    <xf numFmtId="43" fontId="20" fillId="0" borderId="14" xfId="36" applyFont="1" applyBorder="1" applyAlignment="1">
      <alignment vertical="center"/>
    </xf>
    <xf numFmtId="0" fontId="81" fillId="0" borderId="22" xfId="0" applyFont="1" applyBorder="1" applyAlignment="1">
      <alignment horizontal="center" vertical="center"/>
    </xf>
    <xf numFmtId="43" fontId="81" fillId="0" borderId="22" xfId="36" applyFont="1" applyBorder="1" applyAlignment="1">
      <alignment vertical="center"/>
    </xf>
    <xf numFmtId="43" fontId="3" fillId="0" borderId="84" xfId="36" applyFont="1" applyBorder="1" applyAlignment="1">
      <alignment vertical="center"/>
    </xf>
    <xf numFmtId="0" fontId="81" fillId="0" borderId="59" xfId="0" applyFont="1" applyBorder="1" applyAlignment="1">
      <alignment vertical="center"/>
    </xf>
    <xf numFmtId="0" fontId="81" fillId="0" borderId="60" xfId="0" applyFont="1" applyBorder="1" applyAlignment="1">
      <alignment vertical="center"/>
    </xf>
    <xf numFmtId="0" fontId="81" fillId="0" borderId="67" xfId="0" applyFont="1" applyBorder="1" applyAlignment="1">
      <alignment horizontal="center" vertical="center"/>
    </xf>
    <xf numFmtId="43" fontId="81" fillId="0" borderId="67" xfId="36" applyFont="1" applyBorder="1" applyAlignment="1">
      <alignment vertical="center"/>
    </xf>
    <xf numFmtId="43" fontId="3" fillId="0" borderId="85" xfId="36" applyFont="1" applyBorder="1" applyAlignment="1">
      <alignment vertical="center"/>
    </xf>
    <xf numFmtId="0" fontId="86" fillId="0" borderId="57" xfId="0" applyFont="1" applyBorder="1" applyAlignment="1">
      <alignment vertical="center"/>
    </xf>
    <xf numFmtId="43" fontId="81" fillId="0" borderId="11" xfId="36" applyFont="1" applyBorder="1" applyAlignment="1">
      <alignment vertical="center"/>
    </xf>
    <xf numFmtId="0" fontId="20" fillId="0" borderId="86" xfId="0" applyFont="1" applyBorder="1" applyAlignment="1">
      <alignment vertical="center"/>
    </xf>
    <xf numFmtId="0" fontId="20" fillId="0" borderId="75" xfId="0" applyFont="1" applyBorder="1" applyAlignment="1">
      <alignment vertical="center"/>
    </xf>
    <xf numFmtId="43" fontId="20" fillId="0" borderId="87" xfId="36" applyFont="1" applyBorder="1" applyAlignment="1">
      <alignment vertical="center"/>
    </xf>
    <xf numFmtId="0" fontId="81" fillId="0" borderId="87" xfId="0" applyFont="1" applyBorder="1" applyAlignment="1" quotePrefix="1">
      <alignment horizontal="center" vertical="center"/>
    </xf>
    <xf numFmtId="43" fontId="4" fillId="0" borderId="10" xfId="36" applyFont="1" applyBorder="1" applyAlignment="1">
      <alignment vertical="center"/>
    </xf>
    <xf numFmtId="43" fontId="4" fillId="0" borderId="88" xfId="36" applyFont="1" applyBorder="1" applyAlignment="1">
      <alignment vertical="center"/>
    </xf>
    <xf numFmtId="0" fontId="3" fillId="0" borderId="12" xfId="0" applyFont="1" applyBorder="1" applyAlignment="1">
      <alignment/>
    </xf>
    <xf numFmtId="43" fontId="3" fillId="0" borderId="14" xfId="36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43" fontId="85" fillId="0" borderId="0" xfId="36" applyFont="1" applyFill="1" applyBorder="1" applyAlignment="1">
      <alignment vertical="center"/>
    </xf>
    <xf numFmtId="0" fontId="81" fillId="0" borderId="14" xfId="0" applyFont="1" applyBorder="1" applyAlignment="1">
      <alignment vertical="center"/>
    </xf>
    <xf numFmtId="43" fontId="4" fillId="0" borderId="12" xfId="36" applyFont="1" applyFill="1" applyBorder="1" applyAlignment="1">
      <alignment vertical="center"/>
    </xf>
    <xf numFmtId="43" fontId="3" fillId="0" borderId="14" xfId="36" applyFont="1" applyBorder="1" applyAlignment="1">
      <alignment vertical="center"/>
    </xf>
    <xf numFmtId="43" fontId="3" fillId="0" borderId="87" xfId="36" applyFont="1" applyBorder="1" applyAlignment="1">
      <alignment vertical="center"/>
    </xf>
    <xf numFmtId="0" fontId="3" fillId="0" borderId="0" xfId="0" applyFont="1" applyFill="1" applyBorder="1" applyAlignment="1" quotePrefix="1">
      <alignment vertical="center"/>
    </xf>
    <xf numFmtId="43" fontId="3" fillId="0" borderId="89" xfId="36" applyFont="1" applyBorder="1" applyAlignment="1">
      <alignment vertical="center"/>
    </xf>
    <xf numFmtId="49" fontId="81" fillId="0" borderId="31" xfId="0" applyNumberFormat="1" applyFont="1" applyBorder="1" applyAlignment="1">
      <alignment horizontal="center" vertical="center"/>
    </xf>
    <xf numFmtId="49" fontId="81" fillId="0" borderId="0" xfId="0" applyNumberFormat="1" applyFont="1" applyBorder="1" applyAlignment="1">
      <alignment horizontal="center" vertical="center"/>
    </xf>
    <xf numFmtId="43" fontId="4" fillId="0" borderId="90" xfId="36" applyFont="1" applyBorder="1" applyAlignment="1">
      <alignment vertical="center"/>
    </xf>
    <xf numFmtId="0" fontId="7" fillId="33" borderId="91" xfId="0" applyFont="1" applyFill="1" applyBorder="1" applyAlignment="1">
      <alignment/>
    </xf>
    <xf numFmtId="43" fontId="7" fillId="33" borderId="14" xfId="36" applyFont="1" applyFill="1" applyBorder="1" applyAlignment="1">
      <alignment/>
    </xf>
    <xf numFmtId="43" fontId="7" fillId="33" borderId="92" xfId="36" applyFont="1" applyFill="1" applyBorder="1" applyAlignment="1">
      <alignment/>
    </xf>
    <xf numFmtId="0" fontId="3" fillId="0" borderId="93" xfId="0" applyFont="1" applyBorder="1" applyAlignment="1">
      <alignment vertical="center"/>
    </xf>
    <xf numFmtId="43" fontId="7" fillId="0" borderId="83" xfId="0" applyNumberFormat="1" applyFont="1" applyBorder="1" applyAlignment="1">
      <alignment/>
    </xf>
    <xf numFmtId="43" fontId="4" fillId="0" borderId="94" xfId="0" applyNumberFormat="1" applyFont="1" applyBorder="1" applyAlignment="1">
      <alignment/>
    </xf>
    <xf numFmtId="0" fontId="11" fillId="0" borderId="12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4" fillId="0" borderId="95" xfId="0" applyFont="1" applyBorder="1" applyAlignment="1">
      <alignment horizontal="center" vertical="center"/>
    </xf>
    <xf numFmtId="0" fontId="3" fillId="35" borderId="0" xfId="0" applyFont="1" applyFill="1" applyBorder="1" applyAlignment="1" quotePrefix="1">
      <alignment horizontal="center" vertical="center"/>
    </xf>
    <xf numFmtId="43" fontId="3" fillId="0" borderId="30" xfId="36" applyFont="1" applyBorder="1" applyAlignment="1">
      <alignment vertical="center"/>
    </xf>
    <xf numFmtId="0" fontId="3" fillId="0" borderId="30" xfId="0" applyFont="1" applyBorder="1" applyAlignment="1">
      <alignment/>
    </xf>
    <xf numFmtId="4" fontId="3" fillId="0" borderId="30" xfId="0" applyNumberFormat="1" applyFont="1" applyBorder="1" applyAlignment="1">
      <alignment/>
    </xf>
    <xf numFmtId="43" fontId="81" fillId="0" borderId="30" xfId="36" applyFont="1" applyBorder="1" applyAlignment="1">
      <alignment vertical="center"/>
    </xf>
    <xf numFmtId="43" fontId="4" fillId="35" borderId="35" xfId="36" applyFont="1" applyFill="1" applyBorder="1" applyAlignment="1">
      <alignment vertical="center"/>
    </xf>
    <xf numFmtId="43" fontId="81" fillId="0" borderId="35" xfId="36" applyFont="1" applyBorder="1" applyAlignment="1">
      <alignment vertical="center"/>
    </xf>
    <xf numFmtId="0" fontId="4" fillId="35" borderId="33" xfId="0" applyFont="1" applyFill="1" applyBorder="1" applyAlignment="1">
      <alignment horizontal="left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43" fontId="4" fillId="0" borderId="0" xfId="0" applyNumberFormat="1" applyFont="1" applyAlignment="1">
      <alignment horizontal="right"/>
    </xf>
    <xf numFmtId="0" fontId="3" fillId="0" borderId="40" xfId="0" applyFont="1" applyBorder="1" applyAlignment="1" quotePrefix="1">
      <alignment horizontal="center" vertical="center"/>
    </xf>
    <xf numFmtId="0" fontId="3" fillId="0" borderId="34" xfId="0" applyFont="1" applyBorder="1" applyAlignment="1">
      <alignment horizontal="center"/>
    </xf>
    <xf numFmtId="43" fontId="3" fillId="0" borderId="35" xfId="36" applyFont="1" applyBorder="1" applyAlignment="1">
      <alignment/>
    </xf>
    <xf numFmtId="49" fontId="81" fillId="0" borderId="96" xfId="0" applyNumberFormat="1" applyFont="1" applyBorder="1" applyAlignment="1">
      <alignment horizontal="center"/>
    </xf>
    <xf numFmtId="43" fontId="3" fillId="0" borderId="97" xfId="36" applyFont="1" applyFill="1" applyBorder="1" applyAlignment="1">
      <alignment vertical="center"/>
    </xf>
    <xf numFmtId="2" fontId="3" fillId="0" borderId="30" xfId="0" applyNumberFormat="1" applyFont="1" applyBorder="1" applyAlignment="1">
      <alignment/>
    </xf>
    <xf numFmtId="43" fontId="3" fillId="0" borderId="30" xfId="36" applyFont="1" applyBorder="1" applyAlignment="1">
      <alignment horizontal="right"/>
    </xf>
    <xf numFmtId="2" fontId="3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43" fontId="81" fillId="0" borderId="21" xfId="36" applyFont="1" applyFill="1" applyBorder="1" applyAlignment="1">
      <alignment vertical="center"/>
    </xf>
    <xf numFmtId="43" fontId="3" fillId="0" borderId="21" xfId="36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0" fontId="7" fillId="0" borderId="72" xfId="0" applyFont="1" applyBorder="1" applyAlignment="1">
      <alignment/>
    </xf>
    <xf numFmtId="49" fontId="11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7" fontId="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43" fontId="4" fillId="35" borderId="0" xfId="36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34" xfId="0" applyBorder="1" applyAlignment="1">
      <alignment/>
    </xf>
    <xf numFmtId="0" fontId="4" fillId="35" borderId="95" xfId="0" applyFont="1" applyFill="1" applyBorder="1" applyAlignment="1">
      <alignment horizontal="left" vertical="center"/>
    </xf>
    <xf numFmtId="0" fontId="4" fillId="35" borderId="26" xfId="0" applyFont="1" applyFill="1" applyBorder="1" applyAlignment="1">
      <alignment horizontal="center" vertical="center"/>
    </xf>
    <xf numFmtId="43" fontId="4" fillId="35" borderId="28" xfId="36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3" fillId="0" borderId="98" xfId="0" applyFont="1" applyBorder="1" applyAlignment="1">
      <alignment vertical="center"/>
    </xf>
    <xf numFmtId="188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9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0" fontId="3" fillId="0" borderId="63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63" xfId="0" applyFont="1" applyBorder="1" applyAlignment="1">
      <alignment horizontal="left"/>
    </xf>
    <xf numFmtId="0" fontId="4" fillId="0" borderId="99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3" fillId="0" borderId="8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4" fillId="35" borderId="101" xfId="0" applyFont="1" applyFill="1" applyBorder="1" applyAlignment="1">
      <alignment horizontal="center" vertical="center"/>
    </xf>
    <xf numFmtId="0" fontId="4" fillId="35" borderId="102" xfId="0" applyFont="1" applyFill="1" applyBorder="1" applyAlignment="1">
      <alignment horizontal="center" vertical="center"/>
    </xf>
    <xf numFmtId="0" fontId="4" fillId="35" borderId="103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4" fillId="0" borderId="9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00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43" fontId="4" fillId="0" borderId="0" xfId="36" applyFont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85" fillId="0" borderId="99" xfId="0" applyFont="1" applyBorder="1" applyAlignment="1">
      <alignment horizontal="center" vertical="center"/>
    </xf>
    <xf numFmtId="0" fontId="85" fillId="0" borderId="9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81" fillId="0" borderId="0" xfId="0" applyFont="1" applyBorder="1" applyAlignment="1">
      <alignment horizontal="left" vertical="center" wrapText="1"/>
    </xf>
    <xf numFmtId="43" fontId="3" fillId="0" borderId="0" xfId="36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8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shrinkToFit="1"/>
    </xf>
    <xf numFmtId="0" fontId="81" fillId="0" borderId="0" xfId="0" applyFont="1" applyFill="1" applyBorder="1" applyAlignment="1">
      <alignment horizontal="left" vertical="center"/>
    </xf>
    <xf numFmtId="0" fontId="81" fillId="0" borderId="63" xfId="0" applyFont="1" applyFill="1" applyBorder="1" applyAlignment="1">
      <alignment horizontal="left" vertical="center"/>
    </xf>
    <xf numFmtId="0" fontId="3" fillId="0" borderId="80" xfId="0" applyFont="1" applyFill="1" applyBorder="1" applyAlignment="1">
      <alignment horizontal="left" vertical="center"/>
    </xf>
    <xf numFmtId="0" fontId="3" fillId="0" borderId="104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21" fillId="0" borderId="75" xfId="0" applyFont="1" applyBorder="1" applyAlignment="1">
      <alignment horizont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7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188" fontId="6" fillId="33" borderId="12" xfId="36" applyNumberFormat="1" applyFont="1" applyFill="1" applyBorder="1" applyAlignment="1">
      <alignment horizontal="center" vertical="center"/>
    </xf>
    <xf numFmtId="188" fontId="6" fillId="33" borderId="105" xfId="36" applyNumberFormat="1" applyFont="1" applyFill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31" fillId="0" borderId="12" xfId="0" applyFont="1" applyBorder="1" applyAlignment="1">
      <alignment horizontal="left" vertical="center" wrapText="1" shrinkToFit="1"/>
    </xf>
    <xf numFmtId="0" fontId="31" fillId="0" borderId="0" xfId="0" applyFont="1" applyBorder="1" applyAlignment="1">
      <alignment horizontal="left" vertical="center" wrapText="1" shrinkToFit="1"/>
    </xf>
    <xf numFmtId="0" fontId="31" fillId="0" borderId="14" xfId="0" applyFont="1" applyBorder="1" applyAlignment="1">
      <alignment horizontal="left" vertical="center" wrapText="1" shrinkToFit="1"/>
    </xf>
    <xf numFmtId="189" fontId="16" fillId="0" borderId="12" xfId="0" applyNumberFormat="1" applyFont="1" applyBorder="1" applyAlignment="1">
      <alignment horizontal="left" vertical="center" wrapText="1"/>
    </xf>
    <xf numFmtId="189" fontId="16" fillId="0" borderId="0" xfId="0" applyNumberFormat="1" applyFont="1" applyBorder="1" applyAlignment="1">
      <alignment horizontal="left" vertical="center" wrapText="1"/>
    </xf>
    <xf numFmtId="189" fontId="16" fillId="0" borderId="14" xfId="0" applyNumberFormat="1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shrinkToFit="1"/>
    </xf>
    <xf numFmtId="43" fontId="5" fillId="0" borderId="0" xfId="36" applyFont="1" applyAlignment="1">
      <alignment horizontal="center" vertical="center"/>
    </xf>
    <xf numFmtId="189" fontId="5" fillId="0" borderId="12" xfId="0" applyNumberFormat="1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89" fontId="6" fillId="0" borderId="0" xfId="0" applyNumberFormat="1" applyFont="1" applyBorder="1" applyAlignment="1">
      <alignment horizontal="left" vertical="center"/>
    </xf>
    <xf numFmtId="189" fontId="6" fillId="0" borderId="19" xfId="0" applyNumberFormat="1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5" fillId="33" borderId="13" xfId="36" applyFont="1" applyFill="1" applyBorder="1" applyAlignment="1">
      <alignment horizontal="center" vertical="center"/>
    </xf>
    <xf numFmtId="43" fontId="5" fillId="33" borderId="11" xfId="36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8" fontId="6" fillId="0" borderId="108" xfId="36" applyNumberFormat="1" applyFont="1" applyBorder="1" applyAlignment="1">
      <alignment horizontal="center" vertical="center"/>
    </xf>
    <xf numFmtId="188" fontId="6" fillId="0" borderId="109" xfId="36" applyNumberFormat="1" applyFont="1" applyBorder="1" applyAlignment="1">
      <alignment horizontal="center" vertical="center"/>
    </xf>
    <xf numFmtId="188" fontId="6" fillId="0" borderId="110" xfId="36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88" fontId="6" fillId="0" borderId="107" xfId="36" applyNumberFormat="1" applyFont="1" applyBorder="1" applyAlignment="1">
      <alignment horizontal="center" vertical="center"/>
    </xf>
    <xf numFmtId="0" fontId="79" fillId="0" borderId="0" xfId="0" applyFont="1" applyAlignment="1">
      <alignment horizontal="center"/>
    </xf>
    <xf numFmtId="189" fontId="5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6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8" fillId="0" borderId="7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4" borderId="7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vertical="center"/>
    </xf>
    <xf numFmtId="49" fontId="17" fillId="0" borderId="63" xfId="0" applyNumberFormat="1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43" fontId="3" fillId="0" borderId="31" xfId="36" applyFont="1" applyBorder="1" applyAlignment="1">
      <alignment horizontal="left" vertical="center" shrinkToFit="1"/>
    </xf>
    <xf numFmtId="43" fontId="3" fillId="0" borderId="0" xfId="36" applyFont="1" applyBorder="1" applyAlignment="1">
      <alignment horizontal="left" vertical="center" shrinkToFit="1"/>
    </xf>
    <xf numFmtId="43" fontId="3" fillId="0" borderId="63" xfId="36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64" xfId="0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63" xfId="0" applyNumberFormat="1" applyFont="1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49" fontId="11" fillId="0" borderId="31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6</xdr:col>
      <xdr:colOff>600075</xdr:colOff>
      <xdr:row>6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915275" y="1219200"/>
          <a:ext cx="581025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0</xdr:rowOff>
    </xdr:from>
    <xdr:to>
      <xdr:col>6</xdr:col>
      <xdr:colOff>590550</xdr:colOff>
      <xdr:row>9</xdr:row>
      <xdr:rowOff>9525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7924800" y="1666875"/>
          <a:ext cx="571500" cy="485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10</xdr:row>
      <xdr:rowOff>28575</xdr:rowOff>
    </xdr:from>
    <xdr:to>
      <xdr:col>6</xdr:col>
      <xdr:colOff>590550</xdr:colOff>
      <xdr:row>11</xdr:row>
      <xdr:rowOff>0</xdr:rowOff>
    </xdr:to>
    <xdr:sp>
      <xdr:nvSpPr>
        <xdr:cNvPr id="3" name="วงเล็บปีกกาขวา 3"/>
        <xdr:cNvSpPr>
          <a:spLocks/>
        </xdr:cNvSpPr>
      </xdr:nvSpPr>
      <xdr:spPr>
        <a:xfrm>
          <a:off x="7915275" y="2409825"/>
          <a:ext cx="571500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28575</xdr:rowOff>
    </xdr:from>
    <xdr:to>
      <xdr:col>6</xdr:col>
      <xdr:colOff>342900</xdr:colOff>
      <xdr:row>10</xdr:row>
      <xdr:rowOff>9525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7915275" y="2171700"/>
          <a:ext cx="323850" cy="2190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11</xdr:row>
      <xdr:rowOff>85725</xdr:rowOff>
    </xdr:from>
    <xdr:to>
      <xdr:col>6</xdr:col>
      <xdr:colOff>600075</xdr:colOff>
      <xdr:row>12</xdr:row>
      <xdr:rowOff>0</xdr:rowOff>
    </xdr:to>
    <xdr:sp>
      <xdr:nvSpPr>
        <xdr:cNvPr id="5" name="วงเล็บปีกกาขวา 5"/>
        <xdr:cNvSpPr>
          <a:spLocks/>
        </xdr:cNvSpPr>
      </xdr:nvSpPr>
      <xdr:spPr>
        <a:xfrm>
          <a:off x="7915275" y="2705100"/>
          <a:ext cx="581025" cy="1524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13</xdr:row>
      <xdr:rowOff>161925</xdr:rowOff>
    </xdr:from>
    <xdr:to>
      <xdr:col>6</xdr:col>
      <xdr:colOff>600075</xdr:colOff>
      <xdr:row>14</xdr:row>
      <xdr:rowOff>9525</xdr:rowOff>
    </xdr:to>
    <xdr:sp>
      <xdr:nvSpPr>
        <xdr:cNvPr id="6" name="วงเล็บปีกกาขวา 5"/>
        <xdr:cNvSpPr>
          <a:spLocks/>
        </xdr:cNvSpPr>
      </xdr:nvSpPr>
      <xdr:spPr>
        <a:xfrm>
          <a:off x="7915275" y="3257550"/>
          <a:ext cx="581025" cy="857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28575</xdr:rowOff>
    </xdr:from>
    <xdr:to>
      <xdr:col>6</xdr:col>
      <xdr:colOff>600075</xdr:colOff>
      <xdr:row>15</xdr:row>
      <xdr:rowOff>0</xdr:rowOff>
    </xdr:to>
    <xdr:sp>
      <xdr:nvSpPr>
        <xdr:cNvPr id="7" name="วงเล็บปีกกาขวา 5"/>
        <xdr:cNvSpPr>
          <a:spLocks/>
        </xdr:cNvSpPr>
      </xdr:nvSpPr>
      <xdr:spPr>
        <a:xfrm>
          <a:off x="7915275" y="3362325"/>
          <a:ext cx="581025" cy="2095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581025</xdr:colOff>
      <xdr:row>19</xdr:row>
      <xdr:rowOff>209550</xdr:rowOff>
    </xdr:to>
    <xdr:sp>
      <xdr:nvSpPr>
        <xdr:cNvPr id="8" name="วงเล็บปีกกาขวา 5"/>
        <xdr:cNvSpPr>
          <a:spLocks/>
        </xdr:cNvSpPr>
      </xdr:nvSpPr>
      <xdr:spPr>
        <a:xfrm>
          <a:off x="7896225" y="4286250"/>
          <a:ext cx="581025" cy="4476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19050</xdr:rowOff>
    </xdr:from>
    <xdr:to>
      <xdr:col>4</xdr:col>
      <xdr:colOff>142875</xdr:colOff>
      <xdr:row>10</xdr:row>
      <xdr:rowOff>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686675" y="1219200"/>
          <a:ext cx="133350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38100</xdr:colOff>
      <xdr:row>14</xdr:row>
      <xdr:rowOff>0</xdr:rowOff>
    </xdr:from>
    <xdr:to>
      <xdr:col>4</xdr:col>
      <xdr:colOff>209550</xdr:colOff>
      <xdr:row>24</xdr:row>
      <xdr:rowOff>228600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7715250" y="3257550"/>
          <a:ext cx="161925" cy="251460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200025</xdr:colOff>
      <xdr:row>8</xdr:row>
      <xdr:rowOff>171450</xdr:rowOff>
    </xdr:from>
    <xdr:to>
      <xdr:col>10</xdr:col>
      <xdr:colOff>266700</xdr:colOff>
      <xdr:row>15</xdr:row>
      <xdr:rowOff>142875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7839075" y="1695450"/>
          <a:ext cx="66675" cy="14382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1152525</xdr:colOff>
      <xdr:row>75</xdr:row>
      <xdr:rowOff>19050</xdr:rowOff>
    </xdr:from>
    <xdr:to>
      <xdr:col>11</xdr:col>
      <xdr:colOff>323850</xdr:colOff>
      <xdr:row>88</xdr:row>
      <xdr:rowOff>19050</xdr:rowOff>
    </xdr:to>
    <xdr:sp>
      <xdr:nvSpPr>
        <xdr:cNvPr id="2" name="วงเล็บปีกกาขวา 4"/>
        <xdr:cNvSpPr>
          <a:spLocks/>
        </xdr:cNvSpPr>
      </xdr:nvSpPr>
      <xdr:spPr>
        <a:xfrm>
          <a:off x="8791575" y="13373100"/>
          <a:ext cx="333375" cy="27241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11</xdr:col>
      <xdr:colOff>0</xdr:colOff>
      <xdr:row>98</xdr:row>
      <xdr:rowOff>9525</xdr:rowOff>
    </xdr:from>
    <xdr:to>
      <xdr:col>11</xdr:col>
      <xdr:colOff>57150</xdr:colOff>
      <xdr:row>107</xdr:row>
      <xdr:rowOff>200025</xdr:rowOff>
    </xdr:to>
    <xdr:sp>
      <xdr:nvSpPr>
        <xdr:cNvPr id="3" name="วงเล็บปีกกาขวา 4"/>
        <xdr:cNvSpPr>
          <a:spLocks/>
        </xdr:cNvSpPr>
      </xdr:nvSpPr>
      <xdr:spPr>
        <a:xfrm>
          <a:off x="8801100" y="18183225"/>
          <a:ext cx="57150" cy="12477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1\PU\&#3591;&#3610;&#3611;&#3619;&#3632;&#3617;&#3634;&#3603;%202558\&#3591;&#3610;&#3648;&#3604;&#3639;&#3629;&#3609;\12.&#3585;.&#3618;..57\&#3591;&#3610;&#3648;&#3604;&#3639;&#3629;&#3609;&#3585;.&#3618;.2557(200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ใบผ่านรายการ 1 "/>
      <sheetName val="ใบผ่านรายการ  2"/>
      <sheetName val="ใบผ่านทั่วไป"/>
      <sheetName val="งบทดลอง "/>
      <sheetName val="กระดาษทำการ"/>
      <sheetName val="รับ-จ่าย"/>
      <sheetName val="รับ-จ่าย 1"/>
      <sheetName val="งบกระแส"/>
      <sheetName val="งบกระแส 1"/>
      <sheetName val="หมายเหตุ2"/>
      <sheetName val="หมายเหตุ3"/>
      <sheetName val="งบกระทบยอด "/>
      <sheetName val="รายงาน ฉก"/>
      <sheetName val="แบบรายงานเงินฝาก"/>
    </sheetNames>
    <sheetDataSet>
      <sheetData sheetId="5">
        <row r="27">
          <cell r="I27">
            <v>0</v>
          </cell>
        </row>
        <row r="61">
          <cell r="I61">
            <v>0</v>
          </cell>
        </row>
        <row r="62">
          <cell r="I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43"/>
  <sheetViews>
    <sheetView view="pageBreakPreview" zoomScaleNormal="110" zoomScaleSheetLayoutView="100" zoomScalePageLayoutView="0" workbookViewId="0" topLeftCell="A25">
      <selection activeCell="H34" sqref="H34"/>
    </sheetView>
  </sheetViews>
  <sheetFormatPr defaultColWidth="9.140625" defaultRowHeight="21.75"/>
  <cols>
    <col min="1" max="1" width="8.57421875" style="139" customWidth="1"/>
    <col min="2" max="2" width="24.421875" style="139" customWidth="1"/>
    <col min="3" max="3" width="6.421875" style="139" customWidth="1"/>
    <col min="4" max="4" width="5.28125" style="139" customWidth="1"/>
    <col min="5" max="5" width="15.421875" style="139" customWidth="1"/>
    <col min="6" max="6" width="10.421875" style="139" customWidth="1"/>
    <col min="7" max="7" width="18.57421875" style="139" customWidth="1"/>
    <col min="8" max="8" width="18.57421875" style="146" customWidth="1"/>
    <col min="9" max="9" width="15.8515625" style="139" customWidth="1"/>
    <col min="10" max="10" width="12.7109375" style="139" bestFit="1" customWidth="1"/>
    <col min="11" max="11" width="14.00390625" style="139" bestFit="1" customWidth="1"/>
    <col min="12" max="16384" width="9.140625" style="139" customWidth="1"/>
  </cols>
  <sheetData>
    <row r="1" spans="5:9" ht="19.5" customHeight="1">
      <c r="E1" s="140"/>
      <c r="F1" s="140"/>
      <c r="H1" s="141" t="s">
        <v>721</v>
      </c>
      <c r="I1" s="140"/>
    </row>
    <row r="2" spans="3:9" ht="19.5" customHeight="1">
      <c r="C2" s="142"/>
      <c r="D2" s="142"/>
      <c r="E2" s="142"/>
      <c r="F2" s="746" t="s">
        <v>718</v>
      </c>
      <c r="G2" s="746"/>
      <c r="H2" s="746"/>
      <c r="I2" s="143"/>
    </row>
    <row r="3" spans="1:9" ht="19.5" customHeight="1">
      <c r="A3" s="744" t="s">
        <v>352</v>
      </c>
      <c r="B3" s="745"/>
      <c r="C3" s="745"/>
      <c r="D3" s="745"/>
      <c r="E3" s="745"/>
      <c r="F3" s="745"/>
      <c r="G3" s="745"/>
      <c r="H3" s="745"/>
      <c r="I3" s="144"/>
    </row>
    <row r="4" ht="19.5" customHeight="1" thickBot="1">
      <c r="A4" s="145" t="s">
        <v>378</v>
      </c>
    </row>
    <row r="5" spans="1:8" ht="19.5" customHeight="1" thickBot="1">
      <c r="A5" s="747" t="s">
        <v>52</v>
      </c>
      <c r="B5" s="748"/>
      <c r="C5" s="748"/>
      <c r="D5" s="748"/>
      <c r="E5" s="148"/>
      <c r="F5" s="147" t="s">
        <v>47</v>
      </c>
      <c r="G5" s="149" t="s">
        <v>9</v>
      </c>
      <c r="H5" s="150" t="s">
        <v>10</v>
      </c>
    </row>
    <row r="6" spans="1:9" ht="19.5" customHeight="1">
      <c r="A6" s="151" t="s">
        <v>78</v>
      </c>
      <c r="B6" s="152"/>
      <c r="C6" s="152"/>
      <c r="D6" s="152"/>
      <c r="E6" s="152"/>
      <c r="F6" s="153" t="s">
        <v>240</v>
      </c>
      <c r="G6" s="154">
        <v>69044</v>
      </c>
      <c r="H6" s="154">
        <v>69044</v>
      </c>
      <c r="I6" s="155">
        <f>+G6-H6</f>
        <v>0</v>
      </c>
    </row>
    <row r="7" spans="1:8" ht="19.5" customHeight="1">
      <c r="A7" s="156" t="s">
        <v>129</v>
      </c>
      <c r="B7" s="152"/>
      <c r="C7" s="152"/>
      <c r="D7" s="152"/>
      <c r="E7" s="152"/>
      <c r="F7" s="153" t="s">
        <v>241</v>
      </c>
      <c r="G7" s="154">
        <v>2172091.31</v>
      </c>
      <c r="H7" s="154"/>
    </row>
    <row r="8" spans="1:8" ht="19.5" customHeight="1">
      <c r="A8" s="156" t="s">
        <v>100</v>
      </c>
      <c r="B8" s="152"/>
      <c r="C8" s="152"/>
      <c r="D8" s="152"/>
      <c r="E8" s="152"/>
      <c r="F8" s="153" t="s">
        <v>242</v>
      </c>
      <c r="G8" s="154">
        <v>159059.01</v>
      </c>
      <c r="H8" s="154"/>
    </row>
    <row r="9" spans="1:8" ht="19.5" customHeight="1">
      <c r="A9" s="157" t="s">
        <v>225</v>
      </c>
      <c r="B9" s="152"/>
      <c r="C9" s="152"/>
      <c r="D9" s="152"/>
      <c r="E9" s="152"/>
      <c r="F9" s="153" t="s">
        <v>243</v>
      </c>
      <c r="G9" s="154">
        <v>0</v>
      </c>
      <c r="H9" s="154"/>
    </row>
    <row r="10" spans="1:8" ht="19.5" customHeight="1">
      <c r="A10" s="157" t="s">
        <v>151</v>
      </c>
      <c r="B10" s="152"/>
      <c r="C10" s="152"/>
      <c r="D10" s="152"/>
      <c r="E10" s="152"/>
      <c r="F10" s="153" t="s">
        <v>239</v>
      </c>
      <c r="G10" s="154">
        <v>0</v>
      </c>
      <c r="H10" s="154"/>
    </row>
    <row r="11" spans="1:8" ht="19.5" customHeight="1">
      <c r="A11" s="157" t="s">
        <v>152</v>
      </c>
      <c r="B11" s="152"/>
      <c r="C11" s="152"/>
      <c r="D11" s="152"/>
      <c r="E11" s="152"/>
      <c r="F11" s="153" t="s">
        <v>244</v>
      </c>
      <c r="G11" s="154">
        <v>0</v>
      </c>
      <c r="H11" s="154"/>
    </row>
    <row r="12" spans="1:8" ht="19.5" customHeight="1">
      <c r="A12" s="160" t="s">
        <v>157</v>
      </c>
      <c r="B12" s="152"/>
      <c r="C12" s="152"/>
      <c r="D12" s="152"/>
      <c r="E12" s="152"/>
      <c r="F12" s="153" t="s">
        <v>190</v>
      </c>
      <c r="G12" s="154">
        <v>0</v>
      </c>
      <c r="H12" s="154"/>
    </row>
    <row r="13" spans="1:10" ht="19.5" customHeight="1">
      <c r="A13" s="156"/>
      <c r="B13" s="152" t="s">
        <v>6</v>
      </c>
      <c r="C13" s="152"/>
      <c r="D13" s="152"/>
      <c r="E13" s="152"/>
      <c r="F13" s="153" t="s">
        <v>191</v>
      </c>
      <c r="G13" s="154"/>
      <c r="H13" s="154">
        <v>2245709.83</v>
      </c>
      <c r="J13" s="155"/>
    </row>
    <row r="14" spans="1:10" ht="19.5" customHeight="1">
      <c r="A14" s="156"/>
      <c r="B14" s="152" t="s">
        <v>249</v>
      </c>
      <c r="C14" s="152"/>
      <c r="D14" s="152"/>
      <c r="E14" s="152"/>
      <c r="F14" s="153" t="s">
        <v>250</v>
      </c>
      <c r="G14" s="154"/>
      <c r="H14" s="154">
        <v>0</v>
      </c>
      <c r="J14" s="155"/>
    </row>
    <row r="15" spans="1:10" ht="19.5" customHeight="1">
      <c r="A15" s="156"/>
      <c r="B15" s="152" t="s">
        <v>371</v>
      </c>
      <c r="C15" s="152"/>
      <c r="D15" s="152"/>
      <c r="E15" s="152"/>
      <c r="F15" s="153" t="s">
        <v>372</v>
      </c>
      <c r="G15" s="154"/>
      <c r="H15" s="154">
        <v>0</v>
      </c>
      <c r="J15" s="155"/>
    </row>
    <row r="16" spans="1:8" ht="19.5" customHeight="1">
      <c r="A16" s="156"/>
      <c r="B16" s="152" t="s">
        <v>353</v>
      </c>
      <c r="C16" s="152"/>
      <c r="D16" s="152"/>
      <c r="E16" s="152"/>
      <c r="F16" s="153" t="s">
        <v>237</v>
      </c>
      <c r="G16" s="154">
        <v>0</v>
      </c>
      <c r="H16" s="154">
        <v>51900</v>
      </c>
    </row>
    <row r="17" spans="1:11" ht="19.5" customHeight="1">
      <c r="A17" s="156"/>
      <c r="B17" s="152" t="s">
        <v>355</v>
      </c>
      <c r="C17" s="152"/>
      <c r="D17" s="152"/>
      <c r="E17" s="152"/>
      <c r="F17" s="153" t="s">
        <v>354</v>
      </c>
      <c r="G17" s="154">
        <v>0</v>
      </c>
      <c r="H17" s="154">
        <v>0</v>
      </c>
      <c r="K17" s="155"/>
    </row>
    <row r="18" spans="1:11" ht="19.5" customHeight="1">
      <c r="A18" s="156"/>
      <c r="B18" s="749" t="s">
        <v>150</v>
      </c>
      <c r="C18" s="749"/>
      <c r="D18" s="749"/>
      <c r="E18" s="750"/>
      <c r="F18" s="153" t="s">
        <v>245</v>
      </c>
      <c r="G18" s="154">
        <v>0</v>
      </c>
      <c r="H18" s="154">
        <v>40.49</v>
      </c>
      <c r="K18" s="155"/>
    </row>
    <row r="19" spans="1:11" ht="19.5" customHeight="1">
      <c r="A19" s="156"/>
      <c r="B19" s="152" t="s">
        <v>149</v>
      </c>
      <c r="C19" s="152"/>
      <c r="D19" s="152"/>
      <c r="E19" s="152"/>
      <c r="F19" s="153" t="s">
        <v>238</v>
      </c>
      <c r="G19" s="154">
        <v>0</v>
      </c>
      <c r="H19" s="154">
        <v>0</v>
      </c>
      <c r="I19" s="139" t="s">
        <v>153</v>
      </c>
      <c r="J19" s="155"/>
      <c r="K19" s="155"/>
    </row>
    <row r="20" spans="1:11" ht="19.5" customHeight="1">
      <c r="A20" s="156"/>
      <c r="B20" s="152" t="s">
        <v>173</v>
      </c>
      <c r="C20" s="152"/>
      <c r="D20" s="152"/>
      <c r="E20" s="152"/>
      <c r="F20" s="153" t="s">
        <v>331</v>
      </c>
      <c r="G20" s="154">
        <v>0</v>
      </c>
      <c r="H20" s="154">
        <v>0</v>
      </c>
      <c r="I20" s="155">
        <f>SUM(H16:H27)</f>
        <v>55940.49</v>
      </c>
      <c r="K20" s="155"/>
    </row>
    <row r="21" spans="1:11" ht="19.5" customHeight="1">
      <c r="A21" s="156"/>
      <c r="B21" s="152" t="s">
        <v>228</v>
      </c>
      <c r="C21" s="152"/>
      <c r="D21" s="152"/>
      <c r="E21" s="152"/>
      <c r="F21" s="153" t="s">
        <v>246</v>
      </c>
      <c r="G21" s="154">
        <v>0</v>
      </c>
      <c r="H21" s="154">
        <v>0</v>
      </c>
      <c r="I21" s="155"/>
      <c r="K21" s="155"/>
    </row>
    <row r="22" spans="1:11" ht="19.5" customHeight="1">
      <c r="A22" s="156"/>
      <c r="B22" s="152" t="s">
        <v>651</v>
      </c>
      <c r="C22" s="152"/>
      <c r="D22" s="152"/>
      <c r="E22" s="152"/>
      <c r="F22" s="153" t="s">
        <v>650</v>
      </c>
      <c r="G22" s="154">
        <v>0</v>
      </c>
      <c r="H22" s="154">
        <v>0</v>
      </c>
      <c r="I22" s="155"/>
      <c r="K22" s="155"/>
    </row>
    <row r="23" spans="1:11" ht="19.5" customHeight="1" hidden="1">
      <c r="A23" s="156"/>
      <c r="B23" s="152" t="s">
        <v>389</v>
      </c>
      <c r="C23" s="152"/>
      <c r="D23" s="152"/>
      <c r="E23" s="152"/>
      <c r="F23" s="153" t="s">
        <v>246</v>
      </c>
      <c r="G23" s="154">
        <v>0</v>
      </c>
      <c r="H23" s="154">
        <v>0</v>
      </c>
      <c r="I23" s="155"/>
      <c r="K23" s="155"/>
    </row>
    <row r="24" spans="1:11" ht="19.5" customHeight="1" hidden="1">
      <c r="A24" s="156"/>
      <c r="B24" s="152" t="s">
        <v>364</v>
      </c>
      <c r="C24" s="152"/>
      <c r="D24" s="152"/>
      <c r="E24" s="152"/>
      <c r="F24" s="153" t="s">
        <v>363</v>
      </c>
      <c r="G24" s="154">
        <v>0</v>
      </c>
      <c r="H24" s="154">
        <v>0</v>
      </c>
      <c r="I24" s="155"/>
      <c r="K24" s="155"/>
    </row>
    <row r="25" spans="1:11" ht="19.5" customHeight="1">
      <c r="A25" s="156"/>
      <c r="B25" s="152" t="s">
        <v>394</v>
      </c>
      <c r="C25" s="152"/>
      <c r="D25" s="152"/>
      <c r="E25" s="152"/>
      <c r="F25" s="153" t="s">
        <v>331</v>
      </c>
      <c r="G25" s="154">
        <v>0</v>
      </c>
      <c r="H25" s="154">
        <v>0</v>
      </c>
      <c r="I25" s="155"/>
      <c r="K25" s="155"/>
    </row>
    <row r="26" spans="1:11" ht="19.5" customHeight="1">
      <c r="A26" s="156"/>
      <c r="B26" s="152" t="s">
        <v>207</v>
      </c>
      <c r="C26" s="152"/>
      <c r="D26" s="152"/>
      <c r="E26" s="152"/>
      <c r="F26" s="153" t="s">
        <v>246</v>
      </c>
      <c r="G26" s="154"/>
      <c r="H26" s="154">
        <v>4000</v>
      </c>
      <c r="I26" s="155"/>
      <c r="K26" s="155"/>
    </row>
    <row r="27" spans="1:11" ht="19.5" customHeight="1">
      <c r="A27" s="156"/>
      <c r="B27" s="741" t="s">
        <v>692</v>
      </c>
      <c r="C27" s="152"/>
      <c r="D27" s="152"/>
      <c r="E27" s="152"/>
      <c r="F27" s="153" t="s">
        <v>246</v>
      </c>
      <c r="G27" s="154"/>
      <c r="H27" s="154">
        <v>0</v>
      </c>
      <c r="K27" s="155"/>
    </row>
    <row r="28" spans="1:11" ht="19.5" customHeight="1">
      <c r="A28" s="156"/>
      <c r="B28" s="152" t="s">
        <v>362</v>
      </c>
      <c r="C28" s="152"/>
      <c r="D28" s="152"/>
      <c r="E28" s="152"/>
      <c r="F28" s="161">
        <v>220100</v>
      </c>
      <c r="G28" s="154">
        <v>0</v>
      </c>
      <c r="H28" s="154">
        <v>0</v>
      </c>
      <c r="K28" s="155"/>
    </row>
    <row r="29" spans="1:11" ht="19.5" customHeight="1">
      <c r="A29" s="156"/>
      <c r="B29" s="152" t="s">
        <v>230</v>
      </c>
      <c r="C29" s="152"/>
      <c r="D29" s="152"/>
      <c r="E29" s="152"/>
      <c r="F29" s="161">
        <v>220500</v>
      </c>
      <c r="G29" s="154">
        <v>0</v>
      </c>
      <c r="H29" s="154">
        <v>0</v>
      </c>
      <c r="K29" s="155"/>
    </row>
    <row r="30" spans="1:11" ht="19.5" customHeight="1">
      <c r="A30" s="156"/>
      <c r="B30" s="152" t="s">
        <v>688</v>
      </c>
      <c r="C30" s="152"/>
      <c r="D30" s="152"/>
      <c r="E30" s="152"/>
      <c r="F30" s="161">
        <v>522000</v>
      </c>
      <c r="G30" s="154"/>
      <c r="H30" s="154">
        <v>0</v>
      </c>
      <c r="K30" s="155"/>
    </row>
    <row r="31" spans="1:11" ht="19.5" customHeight="1">
      <c r="A31" s="156"/>
      <c r="B31" s="152" t="s">
        <v>661</v>
      </c>
      <c r="C31" s="152"/>
      <c r="D31" s="152"/>
      <c r="E31" s="152"/>
      <c r="F31" s="161">
        <v>113100</v>
      </c>
      <c r="G31" s="154"/>
      <c r="H31" s="154">
        <v>0</v>
      </c>
      <c r="K31" s="155"/>
    </row>
    <row r="32" spans="1:9" ht="19.5" customHeight="1">
      <c r="A32" s="156"/>
      <c r="B32" s="751" t="s">
        <v>652</v>
      </c>
      <c r="C32" s="751"/>
      <c r="D32" s="751"/>
      <c r="E32" s="752"/>
      <c r="F32" s="153" t="s">
        <v>253</v>
      </c>
      <c r="G32" s="154"/>
      <c r="H32" s="154">
        <v>0</v>
      </c>
      <c r="I32" s="155"/>
    </row>
    <row r="33" spans="1:8" ht="19.5" customHeight="1">
      <c r="A33" s="156"/>
      <c r="B33" s="162" t="s">
        <v>361</v>
      </c>
      <c r="C33" s="162"/>
      <c r="D33" s="162"/>
      <c r="E33" s="162"/>
      <c r="F33" s="153" t="s">
        <v>192</v>
      </c>
      <c r="G33" s="154"/>
      <c r="H33" s="154">
        <v>0</v>
      </c>
    </row>
    <row r="34" spans="1:8" ht="19.5" customHeight="1">
      <c r="A34" s="156"/>
      <c r="B34" s="162" t="s">
        <v>720</v>
      </c>
      <c r="C34" s="162"/>
      <c r="D34" s="162"/>
      <c r="E34" s="162"/>
      <c r="F34" s="153"/>
      <c r="G34" s="154"/>
      <c r="H34" s="154">
        <v>29500</v>
      </c>
    </row>
    <row r="35" spans="1:8" ht="19.5" customHeight="1" thickBot="1">
      <c r="A35" s="156"/>
      <c r="B35" s="162" t="s">
        <v>356</v>
      </c>
      <c r="C35" s="162"/>
      <c r="D35" s="162"/>
      <c r="E35" s="162"/>
      <c r="F35" s="153" t="s">
        <v>193</v>
      </c>
      <c r="G35" s="154"/>
      <c r="H35" s="154">
        <v>0</v>
      </c>
    </row>
    <row r="36" spans="1:10" ht="19.5" customHeight="1" thickBot="1">
      <c r="A36" s="163"/>
      <c r="B36" s="164"/>
      <c r="C36" s="165" t="s">
        <v>73</v>
      </c>
      <c r="D36" s="164"/>
      <c r="E36" s="164"/>
      <c r="F36" s="166"/>
      <c r="G36" s="167">
        <f>SUM(G6:G35)</f>
        <v>2400194.3200000003</v>
      </c>
      <c r="H36" s="167">
        <f>SUM(H6:H35)</f>
        <v>2400194.3200000003</v>
      </c>
      <c r="I36" s="155">
        <f>G36-H36</f>
        <v>0</v>
      </c>
      <c r="J36" s="168"/>
    </row>
    <row r="37" ht="19.5" customHeight="1">
      <c r="A37" s="139" t="s">
        <v>719</v>
      </c>
    </row>
    <row r="38" spans="1:8" ht="19.5" customHeight="1">
      <c r="A38" s="753" t="s">
        <v>34</v>
      </c>
      <c r="B38" s="754"/>
      <c r="C38" s="753" t="s">
        <v>569</v>
      </c>
      <c r="D38" s="755"/>
      <c r="E38" s="755"/>
      <c r="F38" s="754"/>
      <c r="G38" s="753" t="s">
        <v>570</v>
      </c>
      <c r="H38" s="754"/>
    </row>
    <row r="39" spans="1:8" ht="19.5" customHeight="1">
      <c r="A39" s="676"/>
      <c r="B39" s="678"/>
      <c r="C39" s="676"/>
      <c r="D39" s="152"/>
      <c r="E39" s="152"/>
      <c r="F39" s="678"/>
      <c r="G39" s="676"/>
      <c r="H39" s="677"/>
    </row>
    <row r="40" spans="1:8" ht="19.5" customHeight="1">
      <c r="A40" s="676"/>
      <c r="B40" s="678"/>
      <c r="C40" s="676"/>
      <c r="D40" s="152"/>
      <c r="E40" s="152"/>
      <c r="F40" s="678"/>
      <c r="G40" s="676"/>
      <c r="H40" s="677"/>
    </row>
    <row r="41" spans="1:8" ht="19.5" customHeight="1">
      <c r="A41" s="756" t="s">
        <v>571</v>
      </c>
      <c r="B41" s="757"/>
      <c r="C41" s="756" t="s">
        <v>703</v>
      </c>
      <c r="D41" s="760"/>
      <c r="E41" s="760"/>
      <c r="F41" s="757"/>
      <c r="G41" s="756" t="s">
        <v>571</v>
      </c>
      <c r="H41" s="757"/>
    </row>
    <row r="42" spans="1:8" ht="19.5" customHeight="1">
      <c r="A42" s="758" t="s">
        <v>572</v>
      </c>
      <c r="B42" s="759"/>
      <c r="C42" s="758" t="s">
        <v>704</v>
      </c>
      <c r="D42" s="761"/>
      <c r="E42" s="761"/>
      <c r="F42" s="759"/>
      <c r="G42" s="758" t="s">
        <v>572</v>
      </c>
      <c r="H42" s="759"/>
    </row>
    <row r="43" ht="19.5" customHeight="1">
      <c r="C43" s="139" t="s">
        <v>53</v>
      </c>
    </row>
  </sheetData>
  <sheetProtection/>
  <mergeCells count="14">
    <mergeCell ref="A41:B41"/>
    <mergeCell ref="A42:B42"/>
    <mergeCell ref="C41:F41"/>
    <mergeCell ref="C42:F42"/>
    <mergeCell ref="G41:H41"/>
    <mergeCell ref="G42:H42"/>
    <mergeCell ref="A3:H3"/>
    <mergeCell ref="F2:H2"/>
    <mergeCell ref="A5:D5"/>
    <mergeCell ref="B18:E18"/>
    <mergeCell ref="B32:E32"/>
    <mergeCell ref="A38:B38"/>
    <mergeCell ref="C38:F38"/>
    <mergeCell ref="G38:H38"/>
  </mergeCells>
  <printOptions horizontalCentered="1"/>
  <pageMargins left="0.1968503937007874" right="0.1968503937007874" top="0.39" bottom="0.3937007874015748" header="0.35433070866141736" footer="0.16"/>
  <pageSetup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3"/>
  <sheetViews>
    <sheetView tabSelected="1" view="pageBreakPreview" zoomScaleSheetLayoutView="100" workbookViewId="0" topLeftCell="A7">
      <selection activeCell="C36" sqref="C36"/>
    </sheetView>
  </sheetViews>
  <sheetFormatPr defaultColWidth="9.140625" defaultRowHeight="21.75"/>
  <cols>
    <col min="1" max="1" width="4.00390625" style="415" customWidth="1"/>
    <col min="2" max="2" width="41.00390625" style="415" customWidth="1"/>
    <col min="3" max="4" width="16.7109375" style="456" customWidth="1"/>
    <col min="5" max="5" width="14.140625" style="456" customWidth="1"/>
    <col min="6" max="6" width="13.140625" style="456" customWidth="1"/>
    <col min="7" max="7" width="19.8515625" style="415" customWidth="1"/>
    <col min="8" max="8" width="19.421875" style="415" customWidth="1"/>
    <col min="9" max="9" width="17.00390625" style="415" customWidth="1"/>
    <col min="10" max="11" width="9.140625" style="415" customWidth="1"/>
    <col min="12" max="12" width="12.421875" style="456" bestFit="1" customWidth="1"/>
    <col min="13" max="16384" width="9.140625" style="415" customWidth="1"/>
  </cols>
  <sheetData>
    <row r="1" spans="1:9" ht="23.25">
      <c r="A1" s="553"/>
      <c r="B1" s="554"/>
      <c r="C1" s="554"/>
      <c r="D1" s="554"/>
      <c r="E1" s="555"/>
      <c r="F1" s="556" t="s">
        <v>177</v>
      </c>
      <c r="G1" s="457"/>
      <c r="H1" s="457"/>
      <c r="I1" s="457"/>
    </row>
    <row r="2" spans="1:9" ht="23.25">
      <c r="A2" s="857" t="s">
        <v>113</v>
      </c>
      <c r="B2" s="857"/>
      <c r="C2" s="857"/>
      <c r="D2" s="857"/>
      <c r="E2" s="857"/>
      <c r="F2" s="857"/>
      <c r="G2" s="457"/>
      <c r="H2" s="457"/>
      <c r="I2" s="457"/>
    </row>
    <row r="3" spans="1:9" ht="23.25">
      <c r="A3" s="853" t="s">
        <v>206</v>
      </c>
      <c r="B3" s="853"/>
      <c r="C3" s="853"/>
      <c r="D3" s="853"/>
      <c r="E3" s="853"/>
      <c r="F3" s="853"/>
      <c r="G3" s="457"/>
      <c r="H3" s="457"/>
      <c r="I3" s="457"/>
    </row>
    <row r="4" spans="1:9" ht="23.25">
      <c r="A4" s="854" t="s">
        <v>628</v>
      </c>
      <c r="B4" s="854"/>
      <c r="C4" s="854"/>
      <c r="D4" s="854"/>
      <c r="E4" s="854"/>
      <c r="F4" s="854"/>
      <c r="G4" s="457"/>
      <c r="H4" s="457"/>
      <c r="I4" s="457"/>
    </row>
    <row r="5" spans="1:9" ht="23.25">
      <c r="A5" s="855" t="s">
        <v>141</v>
      </c>
      <c r="B5" s="856"/>
      <c r="C5" s="557" t="s">
        <v>46</v>
      </c>
      <c r="D5" s="557" t="s">
        <v>64</v>
      </c>
      <c r="E5" s="557" t="s">
        <v>65</v>
      </c>
      <c r="F5" s="558" t="s">
        <v>114</v>
      </c>
      <c r="G5" s="457"/>
      <c r="H5" s="457"/>
      <c r="I5" s="457"/>
    </row>
    <row r="6" spans="1:9" ht="71.25">
      <c r="A6" s="559">
        <v>1</v>
      </c>
      <c r="B6" s="560" t="s">
        <v>488</v>
      </c>
      <c r="C6" s="561">
        <v>528103.24</v>
      </c>
      <c r="D6" s="562">
        <v>528103.24</v>
      </c>
      <c r="E6" s="563">
        <f aca="true" t="shared" si="0" ref="E6:E30">+C6-D6</f>
        <v>0</v>
      </c>
      <c r="F6" s="564" t="s">
        <v>607</v>
      </c>
      <c r="G6" s="457"/>
      <c r="H6" s="457"/>
      <c r="I6" s="457"/>
    </row>
    <row r="7" spans="1:9" ht="95.25">
      <c r="A7" s="565">
        <v>2</v>
      </c>
      <c r="B7" s="560" t="s">
        <v>489</v>
      </c>
      <c r="C7" s="562">
        <v>500000</v>
      </c>
      <c r="D7" s="562">
        <v>500000</v>
      </c>
      <c r="E7" s="562">
        <f t="shared" si="0"/>
        <v>0</v>
      </c>
      <c r="F7" s="564" t="s">
        <v>608</v>
      </c>
      <c r="G7" s="457"/>
      <c r="H7" s="457"/>
      <c r="I7" s="457"/>
    </row>
    <row r="8" spans="1:9" ht="71.25">
      <c r="A8" s="566">
        <v>3</v>
      </c>
      <c r="B8" s="567" t="s">
        <v>490</v>
      </c>
      <c r="C8" s="568">
        <v>100000</v>
      </c>
      <c r="D8" s="563"/>
      <c r="E8" s="563">
        <f t="shared" si="0"/>
        <v>100000</v>
      </c>
      <c r="F8" s="569"/>
      <c r="G8" s="457"/>
      <c r="H8" s="457"/>
      <c r="I8" s="457"/>
    </row>
    <row r="9" spans="1:9" ht="71.25">
      <c r="A9" s="565">
        <v>4</v>
      </c>
      <c r="B9" s="570" t="s">
        <v>491</v>
      </c>
      <c r="C9" s="563">
        <v>300000</v>
      </c>
      <c r="D9" s="563">
        <v>0</v>
      </c>
      <c r="E9" s="563">
        <f t="shared" si="0"/>
        <v>300000</v>
      </c>
      <c r="F9" s="569"/>
      <c r="G9" s="584">
        <f>SUM(E8:E30)</f>
        <v>5461418.85</v>
      </c>
      <c r="H9" s="457"/>
      <c r="I9" s="457"/>
    </row>
    <row r="10" spans="1:9" ht="47.25">
      <c r="A10" s="566">
        <v>5</v>
      </c>
      <c r="B10" s="570" t="s">
        <v>492</v>
      </c>
      <c r="C10" s="563">
        <v>500000</v>
      </c>
      <c r="D10" s="563">
        <v>0</v>
      </c>
      <c r="E10" s="563">
        <f t="shared" si="0"/>
        <v>500000</v>
      </c>
      <c r="F10" s="569"/>
      <c r="G10" s="584">
        <f>SUM(E6:E7)</f>
        <v>0</v>
      </c>
      <c r="H10" s="457"/>
      <c r="I10" s="457"/>
    </row>
    <row r="11" spans="1:9" ht="51" customHeight="1">
      <c r="A11" s="565">
        <v>6</v>
      </c>
      <c r="B11" s="570" t="s">
        <v>494</v>
      </c>
      <c r="C11" s="568">
        <v>1262790</v>
      </c>
      <c r="D11" s="563"/>
      <c r="E11" s="563">
        <f t="shared" si="0"/>
        <v>1262790</v>
      </c>
      <c r="F11" s="569"/>
      <c r="G11" s="457"/>
      <c r="H11" s="457"/>
      <c r="I11" s="457"/>
    </row>
    <row r="12" spans="1:9" ht="47.25">
      <c r="A12" s="566">
        <v>7</v>
      </c>
      <c r="B12" s="570" t="s">
        <v>493</v>
      </c>
      <c r="C12" s="568">
        <v>247000</v>
      </c>
      <c r="D12" s="563"/>
      <c r="E12" s="563">
        <f t="shared" si="0"/>
        <v>247000</v>
      </c>
      <c r="F12" s="569"/>
      <c r="G12" s="457"/>
      <c r="H12" s="457"/>
      <c r="I12" s="457"/>
    </row>
    <row r="13" spans="1:9" ht="71.25">
      <c r="A13" s="565"/>
      <c r="B13" s="570" t="s">
        <v>510</v>
      </c>
      <c r="C13" s="568">
        <v>574000</v>
      </c>
      <c r="D13" s="563"/>
      <c r="E13" s="563">
        <f t="shared" si="0"/>
        <v>574000</v>
      </c>
      <c r="F13" s="569"/>
      <c r="G13" s="457"/>
      <c r="H13" s="457"/>
      <c r="I13" s="457"/>
    </row>
    <row r="14" spans="1:9" ht="65.25">
      <c r="A14" s="565">
        <v>8</v>
      </c>
      <c r="B14" s="571" t="s">
        <v>495</v>
      </c>
      <c r="C14" s="563">
        <v>301000</v>
      </c>
      <c r="D14" s="563">
        <v>0</v>
      </c>
      <c r="E14" s="563">
        <f t="shared" si="0"/>
        <v>301000</v>
      </c>
      <c r="F14" s="569"/>
      <c r="G14" s="457"/>
      <c r="H14" s="457"/>
      <c r="I14" s="457"/>
    </row>
    <row r="15" spans="1:9" ht="47.25">
      <c r="A15" s="566">
        <v>9</v>
      </c>
      <c r="B15" s="570" t="s">
        <v>496</v>
      </c>
      <c r="C15" s="563">
        <v>219000</v>
      </c>
      <c r="D15" s="563"/>
      <c r="E15" s="563">
        <f t="shared" si="0"/>
        <v>219000</v>
      </c>
      <c r="F15" s="569"/>
      <c r="G15" s="457"/>
      <c r="H15" s="457"/>
      <c r="I15" s="457"/>
    </row>
    <row r="16" spans="1:9" ht="71.25">
      <c r="A16" s="565">
        <v>10</v>
      </c>
      <c r="B16" s="570" t="s">
        <v>497</v>
      </c>
      <c r="C16" s="563">
        <v>271000</v>
      </c>
      <c r="D16" s="563"/>
      <c r="E16" s="563">
        <f t="shared" si="0"/>
        <v>271000</v>
      </c>
      <c r="F16" s="569"/>
      <c r="G16" s="457"/>
      <c r="H16" s="457"/>
      <c r="I16" s="457"/>
    </row>
    <row r="17" spans="1:9" ht="23.25">
      <c r="A17" s="855" t="s">
        <v>141</v>
      </c>
      <c r="B17" s="856"/>
      <c r="C17" s="557" t="s">
        <v>46</v>
      </c>
      <c r="D17" s="557" t="s">
        <v>64</v>
      </c>
      <c r="E17" s="557" t="s">
        <v>65</v>
      </c>
      <c r="F17" s="558" t="s">
        <v>114</v>
      </c>
      <c r="G17" s="457"/>
      <c r="H17" s="457"/>
      <c r="I17" s="457"/>
    </row>
    <row r="18" spans="1:9" ht="52.5" customHeight="1">
      <c r="A18" s="566">
        <v>11</v>
      </c>
      <c r="B18" s="570" t="s">
        <v>498</v>
      </c>
      <c r="C18" s="563">
        <v>400000</v>
      </c>
      <c r="D18" s="563">
        <v>0</v>
      </c>
      <c r="E18" s="563">
        <f t="shared" si="0"/>
        <v>400000</v>
      </c>
      <c r="F18" s="569"/>
      <c r="G18" s="457"/>
      <c r="H18" s="457"/>
      <c r="I18" s="457"/>
    </row>
    <row r="19" spans="1:9" ht="47.25">
      <c r="A19" s="565">
        <v>12</v>
      </c>
      <c r="B19" s="570" t="s">
        <v>499</v>
      </c>
      <c r="C19" s="563">
        <v>350000</v>
      </c>
      <c r="D19" s="563"/>
      <c r="E19" s="563">
        <f t="shared" si="0"/>
        <v>350000</v>
      </c>
      <c r="F19" s="569"/>
      <c r="G19" s="457"/>
      <c r="H19" s="457"/>
      <c r="I19" s="457"/>
    </row>
    <row r="20" spans="1:9" ht="47.25">
      <c r="A20" s="566">
        <v>13</v>
      </c>
      <c r="B20" s="570" t="s">
        <v>500</v>
      </c>
      <c r="C20" s="563">
        <v>23000</v>
      </c>
      <c r="D20" s="563">
        <v>22000</v>
      </c>
      <c r="E20" s="563">
        <f t="shared" si="0"/>
        <v>1000</v>
      </c>
      <c r="F20" s="564" t="s">
        <v>621</v>
      </c>
      <c r="G20" s="457"/>
      <c r="H20" s="457"/>
      <c r="I20" s="457"/>
    </row>
    <row r="21" spans="1:9" ht="47.25">
      <c r="A21" s="565">
        <v>14</v>
      </c>
      <c r="B21" s="570" t="s">
        <v>501</v>
      </c>
      <c r="C21" s="563">
        <v>2000</v>
      </c>
      <c r="D21" s="563">
        <v>0</v>
      </c>
      <c r="E21" s="563">
        <f t="shared" si="0"/>
        <v>2000</v>
      </c>
      <c r="F21" s="569"/>
      <c r="G21" s="457"/>
      <c r="H21" s="457"/>
      <c r="I21" s="457"/>
    </row>
    <row r="22" spans="1:9" ht="47.25">
      <c r="A22" s="566">
        <v>15</v>
      </c>
      <c r="B22" s="560" t="s">
        <v>502</v>
      </c>
      <c r="C22" s="562">
        <v>9000</v>
      </c>
      <c r="D22" s="562"/>
      <c r="E22" s="562">
        <f t="shared" si="0"/>
        <v>9000</v>
      </c>
      <c r="F22" s="564"/>
      <c r="G22" s="457"/>
      <c r="H22" s="457"/>
      <c r="I22" s="457"/>
    </row>
    <row r="23" spans="1:9" ht="47.25">
      <c r="A23" s="565">
        <v>16</v>
      </c>
      <c r="B23" s="570" t="s">
        <v>503</v>
      </c>
      <c r="C23" s="563">
        <v>3100</v>
      </c>
      <c r="D23" s="563">
        <v>3100</v>
      </c>
      <c r="E23" s="563">
        <f t="shared" si="0"/>
        <v>0</v>
      </c>
      <c r="F23" s="564" t="s">
        <v>621</v>
      </c>
      <c r="G23" s="457"/>
      <c r="H23" s="457"/>
      <c r="I23" s="457"/>
    </row>
    <row r="24" spans="1:9" ht="71.25">
      <c r="A24" s="566">
        <v>17</v>
      </c>
      <c r="B24" s="570" t="s">
        <v>504</v>
      </c>
      <c r="C24" s="563">
        <v>7600</v>
      </c>
      <c r="D24" s="563">
        <v>7600</v>
      </c>
      <c r="E24" s="563">
        <f t="shared" si="0"/>
        <v>0</v>
      </c>
      <c r="F24" s="564" t="s">
        <v>621</v>
      </c>
      <c r="G24" s="457"/>
      <c r="H24" s="457"/>
      <c r="I24" s="457"/>
    </row>
    <row r="25" spans="1:9" ht="47.25">
      <c r="A25" s="565">
        <v>18</v>
      </c>
      <c r="B25" s="560" t="s">
        <v>505</v>
      </c>
      <c r="C25" s="562">
        <v>30000</v>
      </c>
      <c r="D25" s="562">
        <v>22000</v>
      </c>
      <c r="E25" s="562">
        <f t="shared" si="0"/>
        <v>8000</v>
      </c>
      <c r="F25" s="564" t="s">
        <v>658</v>
      </c>
      <c r="G25" s="457"/>
      <c r="H25" s="457"/>
      <c r="I25" s="457"/>
    </row>
    <row r="26" spans="1:9" ht="47.25">
      <c r="A26" s="566">
        <v>19</v>
      </c>
      <c r="B26" s="572" t="s">
        <v>506</v>
      </c>
      <c r="C26" s="542">
        <v>10000</v>
      </c>
      <c r="D26" s="563">
        <v>7500</v>
      </c>
      <c r="E26" s="563">
        <f t="shared" si="0"/>
        <v>2500</v>
      </c>
      <c r="F26" s="564" t="s">
        <v>657</v>
      </c>
      <c r="G26" s="457"/>
      <c r="H26" s="457"/>
      <c r="I26" s="457"/>
    </row>
    <row r="27" spans="1:9" ht="23.25">
      <c r="A27" s="565">
        <v>20</v>
      </c>
      <c r="B27" s="577" t="s">
        <v>507</v>
      </c>
      <c r="C27" s="578">
        <v>8000</v>
      </c>
      <c r="D27" s="562"/>
      <c r="E27" s="562">
        <f t="shared" si="0"/>
        <v>8000</v>
      </c>
      <c r="F27" s="564"/>
      <c r="G27" s="457"/>
      <c r="H27" s="457"/>
      <c r="I27" s="457"/>
    </row>
    <row r="28" spans="1:9" ht="47.25">
      <c r="A28" s="566">
        <v>21</v>
      </c>
      <c r="B28" s="577" t="s">
        <v>507</v>
      </c>
      <c r="C28" s="578">
        <v>8000</v>
      </c>
      <c r="D28" s="562">
        <v>8000</v>
      </c>
      <c r="E28" s="562">
        <f t="shared" si="0"/>
        <v>0</v>
      </c>
      <c r="F28" s="564" t="s">
        <v>629</v>
      </c>
      <c r="G28" s="457"/>
      <c r="H28" s="457"/>
      <c r="I28" s="457"/>
    </row>
    <row r="29" spans="1:9" ht="47.25">
      <c r="A29" s="565">
        <v>22</v>
      </c>
      <c r="B29" s="577" t="s">
        <v>508</v>
      </c>
      <c r="C29" s="578">
        <v>120000</v>
      </c>
      <c r="D29" s="562">
        <v>119995.15</v>
      </c>
      <c r="E29" s="562">
        <f t="shared" si="0"/>
        <v>4.850000000005821</v>
      </c>
      <c r="F29" s="564" t="s">
        <v>640</v>
      </c>
      <c r="G29" s="457"/>
      <c r="H29" s="457"/>
      <c r="I29" s="457"/>
    </row>
    <row r="30" spans="1:9" ht="23.25">
      <c r="A30" s="566">
        <v>23</v>
      </c>
      <c r="B30" s="577" t="s">
        <v>509</v>
      </c>
      <c r="C30" s="578">
        <v>906124</v>
      </c>
      <c r="D30" s="562"/>
      <c r="E30" s="562">
        <f t="shared" si="0"/>
        <v>906124</v>
      </c>
      <c r="F30" s="564"/>
      <c r="G30" s="457"/>
      <c r="H30" s="457"/>
      <c r="I30" s="457"/>
    </row>
    <row r="31" spans="1:9" ht="23.25">
      <c r="A31" s="573"/>
      <c r="B31" s="574" t="s">
        <v>70</v>
      </c>
      <c r="C31" s="575">
        <f>SUM(C6:C30)</f>
        <v>6679717.24</v>
      </c>
      <c r="D31" s="575">
        <f>SUM(D6:D24)</f>
        <v>1060803.24</v>
      </c>
      <c r="E31" s="575">
        <f>SUM(E6:E30)</f>
        <v>5461418.85</v>
      </c>
      <c r="F31" s="576"/>
      <c r="G31" s="457"/>
      <c r="H31" s="457"/>
      <c r="I31" s="457"/>
    </row>
    <row r="32" spans="1:9" ht="18">
      <c r="A32" s="457"/>
      <c r="B32" s="457"/>
      <c r="C32" s="458"/>
      <c r="D32" s="458"/>
      <c r="E32" s="458"/>
      <c r="F32" s="458"/>
      <c r="G32" s="457"/>
      <c r="H32" s="457"/>
      <c r="I32" s="457"/>
    </row>
    <row r="33" spans="1:9" ht="18">
      <c r="A33" s="457"/>
      <c r="B33" s="457"/>
      <c r="C33" s="458"/>
      <c r="D33" s="458"/>
      <c r="E33" s="458"/>
      <c r="F33" s="458"/>
      <c r="G33" s="457"/>
      <c r="H33" s="457"/>
      <c r="I33" s="457"/>
    </row>
    <row r="34" spans="1:9" ht="18">
      <c r="A34" s="457"/>
      <c r="B34" s="457"/>
      <c r="C34" s="458"/>
      <c r="D34" s="458"/>
      <c r="E34" s="458"/>
      <c r="F34" s="458"/>
      <c r="G34" s="457"/>
      <c r="H34" s="457"/>
      <c r="I34" s="457"/>
    </row>
    <row r="35" spans="1:9" ht="18">
      <c r="A35" s="457"/>
      <c r="B35" s="457"/>
      <c r="C35" s="458"/>
      <c r="D35" s="458"/>
      <c r="E35" s="458"/>
      <c r="F35" s="458"/>
      <c r="G35" s="457"/>
      <c r="H35" s="457"/>
      <c r="I35" s="457"/>
    </row>
    <row r="36" spans="1:9" ht="18">
      <c r="A36" s="457"/>
      <c r="B36" s="457"/>
      <c r="C36" s="458"/>
      <c r="D36" s="458"/>
      <c r="E36" s="458"/>
      <c r="F36" s="458"/>
      <c r="G36" s="457"/>
      <c r="H36" s="457"/>
      <c r="I36" s="457"/>
    </row>
    <row r="37" spans="1:9" ht="18">
      <c r="A37" s="457"/>
      <c r="B37" s="457"/>
      <c r="C37" s="458"/>
      <c r="D37" s="458"/>
      <c r="E37" s="458"/>
      <c r="F37" s="458"/>
      <c r="G37" s="457"/>
      <c r="H37" s="457"/>
      <c r="I37" s="457"/>
    </row>
    <row r="38" spans="1:9" ht="18">
      <c r="A38" s="457"/>
      <c r="B38" s="457"/>
      <c r="C38" s="458"/>
      <c r="D38" s="458"/>
      <c r="E38" s="458"/>
      <c r="F38" s="458"/>
      <c r="G38" s="457"/>
      <c r="H38" s="457"/>
      <c r="I38" s="457"/>
    </row>
    <row r="39" spans="1:9" ht="18">
      <c r="A39" s="457"/>
      <c r="B39" s="457"/>
      <c r="C39" s="458"/>
      <c r="D39" s="458"/>
      <c r="E39" s="458"/>
      <c r="F39" s="458"/>
      <c r="G39" s="457"/>
      <c r="H39" s="457"/>
      <c r="I39" s="457"/>
    </row>
    <row r="40" spans="1:9" ht="18">
      <c r="A40" s="457"/>
      <c r="B40" s="457"/>
      <c r="C40" s="458"/>
      <c r="D40" s="458"/>
      <c r="E40" s="458"/>
      <c r="F40" s="458"/>
      <c r="G40" s="457"/>
      <c r="H40" s="457"/>
      <c r="I40" s="457"/>
    </row>
    <row r="41" spans="1:9" ht="18">
      <c r="A41" s="457"/>
      <c r="B41" s="457"/>
      <c r="C41" s="458"/>
      <c r="D41" s="458"/>
      <c r="E41" s="458"/>
      <c r="F41" s="458"/>
      <c r="G41" s="457"/>
      <c r="H41" s="457"/>
      <c r="I41" s="457"/>
    </row>
    <row r="42" spans="1:9" ht="18">
      <c r="A42" s="457"/>
      <c r="B42" s="457"/>
      <c r="C42" s="458"/>
      <c r="D42" s="458"/>
      <c r="E42" s="458"/>
      <c r="F42" s="458"/>
      <c r="G42" s="457"/>
      <c r="H42" s="457"/>
      <c r="I42" s="457"/>
    </row>
    <row r="43" spans="1:9" ht="18">
      <c r="A43" s="457"/>
      <c r="B43" s="457"/>
      <c r="C43" s="458"/>
      <c r="D43" s="458"/>
      <c r="E43" s="458"/>
      <c r="F43" s="458"/>
      <c r="G43" s="457"/>
      <c r="H43" s="457"/>
      <c r="I43" s="457"/>
    </row>
    <row r="44" spans="1:9" ht="18">
      <c r="A44" s="457"/>
      <c r="B44" s="457"/>
      <c r="C44" s="458"/>
      <c r="D44" s="458"/>
      <c r="E44" s="458"/>
      <c r="F44" s="458"/>
      <c r="G44" s="457"/>
      <c r="H44" s="457"/>
      <c r="I44" s="457"/>
    </row>
    <row r="45" spans="1:9" ht="18">
      <c r="A45" s="457"/>
      <c r="B45" s="457"/>
      <c r="C45" s="458"/>
      <c r="D45" s="458"/>
      <c r="E45" s="458"/>
      <c r="F45" s="458"/>
      <c r="G45" s="457"/>
      <c r="H45" s="457"/>
      <c r="I45" s="457"/>
    </row>
    <row r="46" spans="1:9" ht="18">
      <c r="A46" s="457"/>
      <c r="B46" s="457"/>
      <c r="C46" s="458"/>
      <c r="D46" s="458"/>
      <c r="E46" s="458"/>
      <c r="F46" s="458"/>
      <c r="G46" s="457"/>
      <c r="H46" s="457"/>
      <c r="I46" s="457"/>
    </row>
    <row r="47" spans="1:9" ht="18">
      <c r="A47" s="457"/>
      <c r="B47" s="457"/>
      <c r="C47" s="458"/>
      <c r="D47" s="458"/>
      <c r="E47" s="458"/>
      <c r="F47" s="458"/>
      <c r="G47" s="457"/>
      <c r="H47" s="457"/>
      <c r="I47" s="457"/>
    </row>
    <row r="48" spans="1:9" ht="18">
      <c r="A48" s="457"/>
      <c r="B48" s="457"/>
      <c r="C48" s="458"/>
      <c r="D48" s="458"/>
      <c r="E48" s="458"/>
      <c r="F48" s="458"/>
      <c r="G48" s="457"/>
      <c r="H48" s="457"/>
      <c r="I48" s="457"/>
    </row>
    <row r="49" spans="1:9" ht="18">
      <c r="A49" s="457"/>
      <c r="B49" s="457"/>
      <c r="C49" s="458"/>
      <c r="D49" s="458"/>
      <c r="E49" s="458"/>
      <c r="F49" s="458"/>
      <c r="G49" s="457"/>
      <c r="H49" s="457"/>
      <c r="I49" s="457"/>
    </row>
    <row r="50" spans="1:9" ht="18">
      <c r="A50" s="457"/>
      <c r="B50" s="457"/>
      <c r="C50" s="458"/>
      <c r="D50" s="458"/>
      <c r="E50" s="458"/>
      <c r="F50" s="458"/>
      <c r="G50" s="457"/>
      <c r="H50" s="457"/>
      <c r="I50" s="457"/>
    </row>
    <row r="51" spans="1:9" ht="18">
      <c r="A51" s="457"/>
      <c r="B51" s="457"/>
      <c r="C51" s="458"/>
      <c r="D51" s="458"/>
      <c r="E51" s="458"/>
      <c r="F51" s="458"/>
      <c r="G51" s="457"/>
      <c r="H51" s="457"/>
      <c r="I51" s="457"/>
    </row>
    <row r="52" spans="1:9" ht="18">
      <c r="A52" s="457"/>
      <c r="B52" s="457"/>
      <c r="C52" s="458"/>
      <c r="D52" s="458"/>
      <c r="E52" s="458"/>
      <c r="F52" s="458"/>
      <c r="G52" s="457"/>
      <c r="H52" s="457"/>
      <c r="I52" s="457"/>
    </row>
    <row r="53" spans="1:9" ht="18">
      <c r="A53" s="457"/>
      <c r="B53" s="457"/>
      <c r="C53" s="458"/>
      <c r="D53" s="458"/>
      <c r="E53" s="458"/>
      <c r="F53" s="458"/>
      <c r="G53" s="457"/>
      <c r="H53" s="457"/>
      <c r="I53" s="457"/>
    </row>
    <row r="54" spans="1:9" ht="18">
      <c r="A54" s="457"/>
      <c r="B54" s="457"/>
      <c r="C54" s="458"/>
      <c r="D54" s="458"/>
      <c r="E54" s="458"/>
      <c r="F54" s="458"/>
      <c r="G54" s="457"/>
      <c r="H54" s="457"/>
      <c r="I54" s="457"/>
    </row>
    <row r="55" spans="1:9" ht="18">
      <c r="A55" s="457"/>
      <c r="B55" s="457"/>
      <c r="C55" s="458"/>
      <c r="D55" s="458"/>
      <c r="E55" s="458"/>
      <c r="F55" s="458"/>
      <c r="G55" s="457"/>
      <c r="H55" s="457"/>
      <c r="I55" s="457"/>
    </row>
    <row r="56" spans="1:9" ht="18">
      <c r="A56" s="457"/>
      <c r="B56" s="457"/>
      <c r="C56" s="458"/>
      <c r="D56" s="458"/>
      <c r="E56" s="458"/>
      <c r="F56" s="458"/>
      <c r="G56" s="457"/>
      <c r="H56" s="457"/>
      <c r="I56" s="457"/>
    </row>
    <row r="57" spans="1:9" ht="18">
      <c r="A57" s="457"/>
      <c r="B57" s="457"/>
      <c r="C57" s="458"/>
      <c r="D57" s="458"/>
      <c r="E57" s="458"/>
      <c r="F57" s="458"/>
      <c r="G57" s="457"/>
      <c r="H57" s="457"/>
      <c r="I57" s="457"/>
    </row>
    <row r="58" spans="1:9" ht="18">
      <c r="A58" s="457"/>
      <c r="B58" s="457"/>
      <c r="C58" s="458"/>
      <c r="D58" s="458"/>
      <c r="E58" s="458"/>
      <c r="F58" s="458"/>
      <c r="G58" s="457"/>
      <c r="H58" s="457"/>
      <c r="I58" s="457"/>
    </row>
    <row r="59" spans="1:9" ht="18">
      <c r="A59" s="457"/>
      <c r="B59" s="457"/>
      <c r="C59" s="458"/>
      <c r="D59" s="458"/>
      <c r="E59" s="458"/>
      <c r="F59" s="458"/>
      <c r="G59" s="457"/>
      <c r="H59" s="457"/>
      <c r="I59" s="457"/>
    </row>
    <row r="60" spans="1:9" ht="18">
      <c r="A60" s="457"/>
      <c r="B60" s="457"/>
      <c r="C60" s="458"/>
      <c r="D60" s="458"/>
      <c r="E60" s="458"/>
      <c r="F60" s="458"/>
      <c r="G60" s="457"/>
      <c r="H60" s="457"/>
      <c r="I60" s="457"/>
    </row>
    <row r="61" spans="1:9" ht="18">
      <c r="A61" s="457"/>
      <c r="B61" s="457"/>
      <c r="C61" s="458"/>
      <c r="D61" s="458"/>
      <c r="E61" s="458"/>
      <c r="F61" s="458"/>
      <c r="G61" s="457"/>
      <c r="H61" s="457"/>
      <c r="I61" s="457"/>
    </row>
    <row r="62" spans="1:9" ht="18">
      <c r="A62" s="457"/>
      <c r="B62" s="457"/>
      <c r="C62" s="458"/>
      <c r="D62" s="458"/>
      <c r="E62" s="458"/>
      <c r="F62" s="458"/>
      <c r="G62" s="457"/>
      <c r="H62" s="457"/>
      <c r="I62" s="457"/>
    </row>
    <row r="63" spans="1:9" ht="18">
      <c r="A63" s="457"/>
      <c r="B63" s="457"/>
      <c r="C63" s="458"/>
      <c r="D63" s="458"/>
      <c r="E63" s="458"/>
      <c r="F63" s="458"/>
      <c r="G63" s="457"/>
      <c r="H63" s="457"/>
      <c r="I63" s="457"/>
    </row>
    <row r="64" spans="1:9" ht="18">
      <c r="A64" s="457"/>
      <c r="B64" s="457"/>
      <c r="C64" s="458"/>
      <c r="D64" s="458"/>
      <c r="E64" s="458"/>
      <c r="F64" s="458"/>
      <c r="G64" s="457"/>
      <c r="H64" s="457"/>
      <c r="I64" s="457"/>
    </row>
    <row r="65" spans="1:9" ht="18">
      <c r="A65" s="457"/>
      <c r="B65" s="457"/>
      <c r="C65" s="458"/>
      <c r="D65" s="458"/>
      <c r="E65" s="458"/>
      <c r="F65" s="458"/>
      <c r="G65" s="457"/>
      <c r="H65" s="457"/>
      <c r="I65" s="457"/>
    </row>
    <row r="66" spans="1:9" ht="18">
      <c r="A66" s="457"/>
      <c r="B66" s="457"/>
      <c r="C66" s="458"/>
      <c r="D66" s="458"/>
      <c r="E66" s="458"/>
      <c r="F66" s="458"/>
      <c r="G66" s="457"/>
      <c r="H66" s="457"/>
      <c r="I66" s="457"/>
    </row>
    <row r="67" spans="1:9" ht="18">
      <c r="A67" s="457"/>
      <c r="B67" s="457"/>
      <c r="C67" s="458"/>
      <c r="D67" s="458"/>
      <c r="E67" s="458"/>
      <c r="F67" s="458"/>
      <c r="G67" s="457"/>
      <c r="H67" s="457"/>
      <c r="I67" s="457"/>
    </row>
    <row r="68" spans="1:9" ht="18">
      <c r="A68" s="457"/>
      <c r="B68" s="457"/>
      <c r="C68" s="458"/>
      <c r="D68" s="458"/>
      <c r="E68" s="458"/>
      <c r="F68" s="458"/>
      <c r="G68" s="457"/>
      <c r="H68" s="457"/>
      <c r="I68" s="457"/>
    </row>
    <row r="69" spans="1:9" ht="18">
      <c r="A69" s="457"/>
      <c r="B69" s="457"/>
      <c r="C69" s="458"/>
      <c r="D69" s="458"/>
      <c r="E69" s="458"/>
      <c r="F69" s="458"/>
      <c r="G69" s="457"/>
      <c r="H69" s="457"/>
      <c r="I69" s="457"/>
    </row>
    <row r="70" spans="1:9" ht="18">
      <c r="A70" s="457"/>
      <c r="B70" s="457"/>
      <c r="C70" s="458"/>
      <c r="D70" s="458"/>
      <c r="E70" s="458"/>
      <c r="F70" s="458"/>
      <c r="G70" s="457"/>
      <c r="H70" s="457"/>
      <c r="I70" s="457"/>
    </row>
    <row r="71" spans="1:9" ht="18">
      <c r="A71" s="457"/>
      <c r="B71" s="457"/>
      <c r="C71" s="458"/>
      <c r="D71" s="458"/>
      <c r="E71" s="458"/>
      <c r="F71" s="458"/>
      <c r="G71" s="457"/>
      <c r="H71" s="457"/>
      <c r="I71" s="457"/>
    </row>
    <row r="72" spans="1:9" ht="18">
      <c r="A72" s="457"/>
      <c r="B72" s="457"/>
      <c r="C72" s="458"/>
      <c r="D72" s="458"/>
      <c r="E72" s="458"/>
      <c r="F72" s="458"/>
      <c r="G72" s="457"/>
      <c r="H72" s="457"/>
      <c r="I72" s="457"/>
    </row>
    <row r="73" spans="1:9" ht="18">
      <c r="A73" s="457"/>
      <c r="B73" s="457"/>
      <c r="C73" s="458"/>
      <c r="D73" s="458"/>
      <c r="E73" s="458"/>
      <c r="F73" s="458"/>
      <c r="G73" s="457"/>
      <c r="H73" s="457"/>
      <c r="I73" s="457"/>
    </row>
    <row r="74" spans="1:9" ht="18">
      <c r="A74" s="457"/>
      <c r="B74" s="457"/>
      <c r="C74" s="458"/>
      <c r="D74" s="458"/>
      <c r="E74" s="458"/>
      <c r="F74" s="458"/>
      <c r="G74" s="457"/>
      <c r="H74" s="457"/>
      <c r="I74" s="457"/>
    </row>
    <row r="75" spans="1:8" ht="18">
      <c r="A75" s="457"/>
      <c r="B75" s="457"/>
      <c r="C75" s="458"/>
      <c r="D75" s="458"/>
      <c r="E75" s="458"/>
      <c r="F75" s="458"/>
      <c r="H75" s="457"/>
    </row>
    <row r="76" spans="1:6" ht="18">
      <c r="A76" s="457"/>
      <c r="B76" s="457"/>
      <c r="C76" s="458"/>
      <c r="D76" s="458"/>
      <c r="E76" s="458"/>
      <c r="F76" s="458"/>
    </row>
    <row r="77" spans="1:6" ht="18">
      <c r="A77" s="457"/>
      <c r="B77" s="457"/>
      <c r="C77" s="458"/>
      <c r="D77" s="458"/>
      <c r="E77" s="458"/>
      <c r="F77" s="458"/>
    </row>
    <row r="78" spans="1:6" ht="18">
      <c r="A78" s="457"/>
      <c r="B78" s="457"/>
      <c r="C78" s="458"/>
      <c r="D78" s="458"/>
      <c r="E78" s="458"/>
      <c r="F78" s="458"/>
    </row>
    <row r="79" spans="1:6" ht="18">
      <c r="A79" s="457"/>
      <c r="B79" s="457"/>
      <c r="C79" s="458"/>
      <c r="D79" s="458"/>
      <c r="E79" s="458"/>
      <c r="F79" s="458"/>
    </row>
    <row r="80" spans="1:6" ht="18">
      <c r="A80" s="457"/>
      <c r="B80" s="457"/>
      <c r="C80" s="458"/>
      <c r="D80" s="458"/>
      <c r="E80" s="458"/>
      <c r="F80" s="458"/>
    </row>
    <row r="81" spans="1:6" ht="18">
      <c r="A81" s="457"/>
      <c r="B81" s="457"/>
      <c r="C81" s="458"/>
      <c r="D81" s="458"/>
      <c r="E81" s="458"/>
      <c r="F81" s="458"/>
    </row>
    <row r="82" spans="1:6" ht="18">
      <c r="A82" s="457"/>
      <c r="B82" s="457"/>
      <c r="C82" s="458"/>
      <c r="D82" s="458"/>
      <c r="E82" s="458"/>
      <c r="F82" s="458"/>
    </row>
    <row r="83" spans="1:6" ht="18">
      <c r="A83" s="457"/>
      <c r="B83" s="457"/>
      <c r="C83" s="458"/>
      <c r="D83" s="458"/>
      <c r="E83" s="458"/>
      <c r="F83" s="458"/>
    </row>
    <row r="84" spans="1:6" ht="18">
      <c r="A84" s="457"/>
      <c r="B84" s="457"/>
      <c r="C84" s="458"/>
      <c r="D84" s="458"/>
      <c r="E84" s="458"/>
      <c r="F84" s="458"/>
    </row>
    <row r="85" spans="1:6" ht="18">
      <c r="A85" s="457"/>
      <c r="B85" s="457"/>
      <c r="C85" s="458"/>
      <c r="D85" s="458"/>
      <c r="E85" s="458"/>
      <c r="F85" s="458"/>
    </row>
    <row r="86" spans="1:6" ht="18">
      <c r="A86" s="457"/>
      <c r="B86" s="457"/>
      <c r="C86" s="458"/>
      <c r="D86" s="458"/>
      <c r="E86" s="458"/>
      <c r="F86" s="458"/>
    </row>
    <row r="87" spans="1:6" ht="18">
      <c r="A87" s="457"/>
      <c r="B87" s="457"/>
      <c r="C87" s="458"/>
      <c r="D87" s="458"/>
      <c r="E87" s="458"/>
      <c r="F87" s="458"/>
    </row>
    <row r="88" spans="1:6" ht="18">
      <c r="A88" s="457"/>
      <c r="B88" s="457"/>
      <c r="C88" s="458"/>
      <c r="D88" s="458"/>
      <c r="E88" s="458"/>
      <c r="F88" s="458"/>
    </row>
    <row r="89" spans="1:6" ht="18">
      <c r="A89" s="457"/>
      <c r="B89" s="457"/>
      <c r="C89" s="458"/>
      <c r="D89" s="458"/>
      <c r="E89" s="458"/>
      <c r="F89" s="458"/>
    </row>
    <row r="90" spans="1:6" ht="18">
      <c r="A90" s="457"/>
      <c r="B90" s="457"/>
      <c r="C90" s="458"/>
      <c r="D90" s="458"/>
      <c r="E90" s="458"/>
      <c r="F90" s="458"/>
    </row>
    <row r="91" spans="1:6" ht="18">
      <c r="A91" s="457"/>
      <c r="B91" s="457"/>
      <c r="C91" s="458"/>
      <c r="D91" s="458"/>
      <c r="E91" s="458"/>
      <c r="F91" s="458"/>
    </row>
    <row r="92" spans="1:6" ht="18">
      <c r="A92" s="457"/>
      <c r="B92" s="457"/>
      <c r="C92" s="458"/>
      <c r="D92" s="458"/>
      <c r="E92" s="458"/>
      <c r="F92" s="458"/>
    </row>
    <row r="93" spans="1:6" ht="18">
      <c r="A93" s="457"/>
      <c r="B93" s="457"/>
      <c r="C93" s="458"/>
      <c r="D93" s="458"/>
      <c r="E93" s="458"/>
      <c r="F93" s="458"/>
    </row>
    <row r="94" spans="1:6" ht="18">
      <c r="A94" s="457"/>
      <c r="B94" s="457"/>
      <c r="C94" s="458"/>
      <c r="D94" s="458"/>
      <c r="E94" s="458"/>
      <c r="F94" s="458"/>
    </row>
    <row r="95" spans="1:6" ht="18">
      <c r="A95" s="457"/>
      <c r="B95" s="457"/>
      <c r="C95" s="458"/>
      <c r="D95" s="458"/>
      <c r="E95" s="458"/>
      <c r="F95" s="458"/>
    </row>
    <row r="96" spans="1:6" ht="18">
      <c r="A96" s="457"/>
      <c r="B96" s="457"/>
      <c r="C96" s="458"/>
      <c r="D96" s="458"/>
      <c r="E96" s="458"/>
      <c r="F96" s="458"/>
    </row>
    <row r="97" spans="1:6" ht="18">
      <c r="A97" s="457"/>
      <c r="B97" s="457"/>
      <c r="C97" s="458"/>
      <c r="D97" s="458"/>
      <c r="E97" s="458"/>
      <c r="F97" s="458"/>
    </row>
    <row r="98" spans="1:6" ht="18">
      <c r="A98" s="457"/>
      <c r="B98" s="457"/>
      <c r="C98" s="458"/>
      <c r="D98" s="458"/>
      <c r="E98" s="458"/>
      <c r="F98" s="458"/>
    </row>
    <row r="99" spans="1:6" ht="18">
      <c r="A99" s="457"/>
      <c r="B99" s="457"/>
      <c r="C99" s="458"/>
      <c r="D99" s="458"/>
      <c r="E99" s="458"/>
      <c r="F99" s="458"/>
    </row>
    <row r="100" spans="1:6" ht="18">
      <c r="A100" s="457"/>
      <c r="B100" s="457"/>
      <c r="C100" s="458"/>
      <c r="D100" s="458"/>
      <c r="E100" s="458"/>
      <c r="F100" s="458"/>
    </row>
    <row r="101" spans="1:6" ht="18">
      <c r="A101" s="457"/>
      <c r="B101" s="457"/>
      <c r="C101" s="458"/>
      <c r="D101" s="458"/>
      <c r="E101" s="458"/>
      <c r="F101" s="458"/>
    </row>
    <row r="102" spans="1:6" ht="18">
      <c r="A102" s="457"/>
      <c r="B102" s="457"/>
      <c r="C102" s="458"/>
      <c r="D102" s="458"/>
      <c r="E102" s="458"/>
      <c r="F102" s="458"/>
    </row>
    <row r="103" spans="1:6" ht="18">
      <c r="A103" s="457"/>
      <c r="B103" s="457"/>
      <c r="C103" s="458"/>
      <c r="D103" s="458"/>
      <c r="E103" s="458"/>
      <c r="F103" s="458"/>
    </row>
    <row r="104" spans="1:6" ht="18">
      <c r="A104" s="457"/>
      <c r="B104" s="457"/>
      <c r="C104" s="458"/>
      <c r="D104" s="458"/>
      <c r="E104" s="458"/>
      <c r="F104" s="458"/>
    </row>
    <row r="105" spans="1:6" ht="18">
      <c r="A105" s="457"/>
      <c r="B105" s="457"/>
      <c r="C105" s="458"/>
      <c r="D105" s="458"/>
      <c r="E105" s="458"/>
      <c r="F105" s="458"/>
    </row>
    <row r="106" spans="1:6" ht="18">
      <c r="A106" s="457"/>
      <c r="B106" s="457"/>
      <c r="C106" s="458"/>
      <c r="D106" s="458"/>
      <c r="E106" s="458"/>
      <c r="F106" s="458"/>
    </row>
    <row r="107" spans="1:6" ht="18">
      <c r="A107" s="457"/>
      <c r="B107" s="457"/>
      <c r="C107" s="458"/>
      <c r="D107" s="458"/>
      <c r="E107" s="458"/>
      <c r="F107" s="458"/>
    </row>
    <row r="108" spans="1:6" ht="18">
      <c r="A108" s="457"/>
      <c r="B108" s="457"/>
      <c r="C108" s="458"/>
      <c r="D108" s="458"/>
      <c r="E108" s="458"/>
      <c r="F108" s="458"/>
    </row>
    <row r="109" spans="1:6" ht="18">
      <c r="A109" s="457"/>
      <c r="B109" s="457"/>
      <c r="C109" s="458"/>
      <c r="D109" s="458"/>
      <c r="E109" s="458"/>
      <c r="F109" s="458"/>
    </row>
    <row r="110" spans="1:6" ht="18">
      <c r="A110" s="457"/>
      <c r="B110" s="457"/>
      <c r="C110" s="458"/>
      <c r="D110" s="458"/>
      <c r="E110" s="458"/>
      <c r="F110" s="458"/>
    </row>
    <row r="111" spans="1:6" ht="18">
      <c r="A111" s="457"/>
      <c r="B111" s="457"/>
      <c r="C111" s="458"/>
      <c r="D111" s="458"/>
      <c r="E111" s="458"/>
      <c r="F111" s="458"/>
    </row>
    <row r="112" spans="1:6" ht="18">
      <c r="A112" s="457"/>
      <c r="B112" s="457"/>
      <c r="C112" s="458"/>
      <c r="D112" s="458"/>
      <c r="E112" s="458"/>
      <c r="F112" s="458"/>
    </row>
    <row r="113" spans="1:6" ht="18">
      <c r="A113" s="457"/>
      <c r="B113" s="457"/>
      <c r="C113" s="458"/>
      <c r="D113" s="458"/>
      <c r="E113" s="458"/>
      <c r="F113" s="458"/>
    </row>
    <row r="114" spans="1:6" ht="18">
      <c r="A114" s="457"/>
      <c r="B114" s="457"/>
      <c r="C114" s="458"/>
      <c r="D114" s="458"/>
      <c r="E114" s="458"/>
      <c r="F114" s="458"/>
    </row>
    <row r="115" spans="1:6" ht="18">
      <c r="A115" s="457"/>
      <c r="B115" s="457"/>
      <c r="C115" s="458"/>
      <c r="D115" s="458"/>
      <c r="E115" s="458"/>
      <c r="F115" s="458"/>
    </row>
    <row r="116" spans="1:6" ht="18">
      <c r="A116" s="457"/>
      <c r="B116" s="457"/>
      <c r="C116" s="458"/>
      <c r="D116" s="458"/>
      <c r="E116" s="458"/>
      <c r="F116" s="458"/>
    </row>
    <row r="117" spans="1:6" ht="18">
      <c r="A117" s="457"/>
      <c r="B117" s="457"/>
      <c r="C117" s="458"/>
      <c r="D117" s="458"/>
      <c r="E117" s="458"/>
      <c r="F117" s="458"/>
    </row>
    <row r="118" spans="1:6" ht="18">
      <c r="A118" s="457"/>
      <c r="B118" s="457"/>
      <c r="C118" s="458"/>
      <c r="D118" s="458"/>
      <c r="E118" s="458"/>
      <c r="F118" s="458"/>
    </row>
    <row r="119" spans="1:6" ht="18">
      <c r="A119" s="457"/>
      <c r="B119" s="457"/>
      <c r="C119" s="458"/>
      <c r="D119" s="458"/>
      <c r="E119" s="458"/>
      <c r="F119" s="458"/>
    </row>
    <row r="120" spans="1:6" ht="18">
      <c r="A120" s="457"/>
      <c r="B120" s="457"/>
      <c r="C120" s="458"/>
      <c r="D120" s="458"/>
      <c r="E120" s="458"/>
      <c r="F120" s="458"/>
    </row>
    <row r="121" spans="1:6" ht="18">
      <c r="A121" s="457"/>
      <c r="B121" s="457"/>
      <c r="C121" s="458"/>
      <c r="D121" s="458"/>
      <c r="E121" s="458"/>
      <c r="F121" s="458"/>
    </row>
    <row r="122" spans="1:6" ht="18">
      <c r="A122" s="457"/>
      <c r="B122" s="457"/>
      <c r="C122" s="458"/>
      <c r="D122" s="458"/>
      <c r="E122" s="458"/>
      <c r="F122" s="458"/>
    </row>
    <row r="123" spans="1:6" ht="18">
      <c r="A123" s="457"/>
      <c r="B123" s="457"/>
      <c r="C123" s="458"/>
      <c r="D123" s="458"/>
      <c r="E123" s="458"/>
      <c r="F123" s="458"/>
    </row>
  </sheetData>
  <sheetProtection/>
  <mergeCells count="5">
    <mergeCell ref="A3:F3"/>
    <mergeCell ref="A4:F4"/>
    <mergeCell ref="A5:B5"/>
    <mergeCell ref="A2:F2"/>
    <mergeCell ref="A17:B17"/>
  </mergeCells>
  <printOptions/>
  <pageMargins left="0.2755905511811024" right="0.11811023622047245" top="0.2755905511811024" bottom="0.15748031496062992" header="0.2362204724409449" footer="0.1968503937007874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AQ21"/>
  <sheetViews>
    <sheetView view="pageBreakPreview" zoomScale="57" zoomScaleSheetLayoutView="57" zoomScalePageLayoutView="0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C9" sqref="C9"/>
    </sheetView>
  </sheetViews>
  <sheetFormatPr defaultColWidth="9.140625" defaultRowHeight="21.75"/>
  <cols>
    <col min="1" max="1" width="4.57421875" style="121" customWidth="1"/>
    <col min="2" max="2" width="44.140625" style="122" bestFit="1" customWidth="1"/>
    <col min="3" max="4" width="14.57421875" style="122" bestFit="1" customWidth="1"/>
    <col min="5" max="5" width="5.7109375" style="122" bestFit="1" customWidth="1"/>
    <col min="6" max="6" width="14.57421875" style="123" bestFit="1" customWidth="1"/>
    <col min="7" max="7" width="12.7109375" style="123" bestFit="1" customWidth="1"/>
    <col min="8" max="8" width="8.7109375" style="123" bestFit="1" customWidth="1"/>
    <col min="9" max="9" width="12.7109375" style="123" bestFit="1" customWidth="1"/>
    <col min="10" max="10" width="11.57421875" style="123" bestFit="1" customWidth="1"/>
    <col min="11" max="11" width="12.7109375" style="123" bestFit="1" customWidth="1"/>
    <col min="12" max="12" width="10.421875" style="123" bestFit="1" customWidth="1"/>
    <col min="13" max="13" width="14.57421875" style="123" bestFit="1" customWidth="1"/>
    <col min="14" max="15" width="12.7109375" style="123" bestFit="1" customWidth="1"/>
    <col min="16" max="16" width="10.421875" style="123" bestFit="1" customWidth="1"/>
    <col min="17" max="17" width="14.57421875" style="123" bestFit="1" customWidth="1"/>
    <col min="18" max="18" width="5.7109375" style="123" bestFit="1" customWidth="1"/>
    <col min="19" max="19" width="14.57421875" style="123" bestFit="1" customWidth="1"/>
    <col min="20" max="20" width="5.7109375" style="123" bestFit="1" customWidth="1"/>
    <col min="21" max="21" width="14.57421875" style="123" bestFit="1" customWidth="1"/>
    <col min="22" max="22" width="5.7109375" style="123" bestFit="1" customWidth="1"/>
    <col min="23" max="23" width="15.7109375" style="123" customWidth="1"/>
    <col min="24" max="25" width="12.57421875" style="123" customWidth="1"/>
    <col min="26" max="30" width="12.57421875" style="124" customWidth="1"/>
    <col min="31" max="34" width="12.57421875" style="86" customWidth="1"/>
    <col min="35" max="35" width="14.00390625" style="86" customWidth="1"/>
    <col min="36" max="36" width="12.57421875" style="125" customWidth="1"/>
    <col min="37" max="16384" width="9.140625" style="89" customWidth="1"/>
  </cols>
  <sheetData>
    <row r="1" spans="1:36" ht="21">
      <c r="A1" s="82"/>
      <c r="B1" s="83"/>
      <c r="C1" s="83"/>
      <c r="D1" s="83"/>
      <c r="E1" s="83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5"/>
      <c r="AA1" s="85"/>
      <c r="AB1" s="85"/>
      <c r="AC1" s="85"/>
      <c r="AD1" s="85"/>
      <c r="AI1" s="87"/>
      <c r="AJ1" s="88" t="s">
        <v>283</v>
      </c>
    </row>
    <row r="2" spans="1:36" ht="21">
      <c r="A2" s="858" t="s">
        <v>76</v>
      </c>
      <c r="B2" s="858"/>
      <c r="C2" s="858"/>
      <c r="D2" s="858"/>
      <c r="E2" s="858"/>
      <c r="F2" s="858"/>
      <c r="G2" s="858"/>
      <c r="H2" s="858"/>
      <c r="I2" s="858"/>
      <c r="J2" s="858"/>
      <c r="K2" s="858"/>
      <c r="L2" s="858"/>
      <c r="M2" s="858"/>
      <c r="N2" s="858"/>
      <c r="O2" s="858"/>
      <c r="P2" s="858"/>
      <c r="Q2" s="858"/>
      <c r="R2" s="858"/>
      <c r="S2" s="858"/>
      <c r="T2" s="858"/>
      <c r="U2" s="858"/>
      <c r="V2" s="858"/>
      <c r="W2" s="858"/>
      <c r="X2" s="858"/>
      <c r="Y2" s="858"/>
      <c r="Z2" s="858"/>
      <c r="AA2" s="858"/>
      <c r="AB2" s="858"/>
      <c r="AC2" s="858"/>
      <c r="AD2" s="858"/>
      <c r="AE2" s="858"/>
      <c r="AF2" s="858"/>
      <c r="AG2" s="858"/>
      <c r="AH2" s="858"/>
      <c r="AI2" s="858"/>
      <c r="AJ2" s="858"/>
    </row>
    <row r="3" spans="1:43" ht="21">
      <c r="A3" s="859" t="s">
        <v>284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  <c r="M3" s="859"/>
      <c r="N3" s="859"/>
      <c r="O3" s="859"/>
      <c r="P3" s="859"/>
      <c r="Q3" s="859"/>
      <c r="R3" s="859"/>
      <c r="S3" s="859"/>
      <c r="T3" s="859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59"/>
      <c r="AJ3" s="859"/>
      <c r="AK3" s="90"/>
      <c r="AL3" s="90"/>
      <c r="AM3" s="90"/>
      <c r="AN3" s="90"/>
      <c r="AO3" s="90"/>
      <c r="AP3" s="90"/>
      <c r="AQ3" s="90"/>
    </row>
    <row r="4" spans="1:43" ht="21">
      <c r="A4" s="860" t="s">
        <v>316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1"/>
      <c r="X4" s="861"/>
      <c r="Y4" s="861"/>
      <c r="Z4" s="861"/>
      <c r="AA4" s="861"/>
      <c r="AB4" s="861"/>
      <c r="AC4" s="861"/>
      <c r="AD4" s="861"/>
      <c r="AE4" s="861"/>
      <c r="AF4" s="861"/>
      <c r="AG4" s="861"/>
      <c r="AH4" s="861"/>
      <c r="AI4" s="861"/>
      <c r="AJ4" s="862"/>
      <c r="AK4" s="90"/>
      <c r="AL4" s="90"/>
      <c r="AM4" s="90"/>
      <c r="AN4" s="90"/>
      <c r="AO4" s="90"/>
      <c r="AP4" s="90"/>
      <c r="AQ4" s="90"/>
    </row>
    <row r="5" spans="1:36" ht="21">
      <c r="A5" s="91" t="s">
        <v>176</v>
      </c>
      <c r="B5" s="91" t="s">
        <v>52</v>
      </c>
      <c r="C5" s="91" t="s">
        <v>317</v>
      </c>
      <c r="D5" s="91" t="s">
        <v>318</v>
      </c>
      <c r="E5" s="91" t="s">
        <v>304</v>
      </c>
      <c r="F5" s="91" t="s">
        <v>319</v>
      </c>
      <c r="G5" s="91" t="s">
        <v>320</v>
      </c>
      <c r="H5" s="91" t="s">
        <v>304</v>
      </c>
      <c r="I5" s="91" t="s">
        <v>321</v>
      </c>
      <c r="J5" s="91" t="s">
        <v>335</v>
      </c>
      <c r="K5" s="91" t="s">
        <v>336</v>
      </c>
      <c r="L5" s="91" t="s">
        <v>304</v>
      </c>
      <c r="M5" s="91" t="s">
        <v>337</v>
      </c>
      <c r="N5" s="91" t="s">
        <v>338</v>
      </c>
      <c r="O5" s="91" t="s">
        <v>339</v>
      </c>
      <c r="P5" s="91" t="s">
        <v>304</v>
      </c>
      <c r="Q5" s="91" t="s">
        <v>340</v>
      </c>
      <c r="R5" s="91" t="s">
        <v>304</v>
      </c>
      <c r="S5" s="91" t="s">
        <v>341</v>
      </c>
      <c r="T5" s="91" t="s">
        <v>304</v>
      </c>
      <c r="U5" s="91" t="s">
        <v>342</v>
      </c>
      <c r="V5" s="91" t="s">
        <v>304</v>
      </c>
      <c r="W5" s="91" t="s">
        <v>285</v>
      </c>
      <c r="X5" s="92" t="s">
        <v>286</v>
      </c>
      <c r="Y5" s="92" t="s">
        <v>287</v>
      </c>
      <c r="Z5" s="92" t="s">
        <v>343</v>
      </c>
      <c r="AA5" s="92" t="s">
        <v>344</v>
      </c>
      <c r="AB5" s="92" t="s">
        <v>345</v>
      </c>
      <c r="AC5" s="92" t="s">
        <v>346</v>
      </c>
      <c r="AD5" s="92" t="s">
        <v>347</v>
      </c>
      <c r="AE5" s="92" t="s">
        <v>348</v>
      </c>
      <c r="AF5" s="92" t="s">
        <v>349</v>
      </c>
      <c r="AG5" s="92" t="s">
        <v>350</v>
      </c>
      <c r="AH5" s="92" t="s">
        <v>351</v>
      </c>
      <c r="AI5" s="92" t="s">
        <v>288</v>
      </c>
      <c r="AJ5" s="93" t="s">
        <v>65</v>
      </c>
    </row>
    <row r="6" spans="1:36" ht="21">
      <c r="A6" s="94">
        <v>1</v>
      </c>
      <c r="B6" s="94" t="s">
        <v>289</v>
      </c>
      <c r="C6" s="95">
        <v>360024.13</v>
      </c>
      <c r="D6" s="95">
        <v>0</v>
      </c>
      <c r="E6" s="95"/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S6" s="96">
        <v>0</v>
      </c>
      <c r="T6" s="96">
        <v>0</v>
      </c>
      <c r="U6" s="96">
        <v>0</v>
      </c>
      <c r="V6" s="97"/>
      <c r="W6" s="98">
        <f>SUM(D6:U6)</f>
        <v>0</v>
      </c>
      <c r="X6" s="97">
        <v>0</v>
      </c>
      <c r="Y6" s="97">
        <v>0</v>
      </c>
      <c r="Z6" s="97">
        <v>0</v>
      </c>
      <c r="AA6" s="97">
        <v>0</v>
      </c>
      <c r="AB6" s="97">
        <v>0</v>
      </c>
      <c r="AC6" s="97">
        <v>0</v>
      </c>
      <c r="AD6" s="97">
        <v>0</v>
      </c>
      <c r="AE6" s="97">
        <v>0</v>
      </c>
      <c r="AF6" s="97">
        <v>0</v>
      </c>
      <c r="AG6" s="97">
        <v>0</v>
      </c>
      <c r="AH6" s="97">
        <v>0</v>
      </c>
      <c r="AI6" s="99">
        <f>SUM(X6:AH6)</f>
        <v>0</v>
      </c>
      <c r="AJ6" s="97">
        <f>W6-AI6</f>
        <v>0</v>
      </c>
    </row>
    <row r="7" spans="1:36" ht="25.5">
      <c r="A7" s="100">
        <v>2</v>
      </c>
      <c r="B7" s="101" t="s">
        <v>290</v>
      </c>
      <c r="C7" s="102"/>
      <c r="D7" s="102"/>
      <c r="E7" s="102"/>
      <c r="F7" s="103">
        <v>37500</v>
      </c>
      <c r="G7" s="103"/>
      <c r="H7" s="103"/>
      <c r="I7" s="103">
        <v>37500</v>
      </c>
      <c r="J7" s="103"/>
      <c r="K7" s="103"/>
      <c r="L7" s="103"/>
      <c r="M7" s="103">
        <v>73500</v>
      </c>
      <c r="N7" s="103"/>
      <c r="O7" s="103"/>
      <c r="P7" s="103"/>
      <c r="Q7" s="103"/>
      <c r="R7" s="103"/>
      <c r="S7" s="103"/>
      <c r="T7" s="103"/>
      <c r="U7" s="103"/>
      <c r="V7" s="104"/>
      <c r="W7" s="103">
        <f aca="true" t="shared" si="0" ref="W7:W20">SUM(D7:U7)</f>
        <v>148500</v>
      </c>
      <c r="X7" s="103">
        <v>12500</v>
      </c>
      <c r="Y7" s="103">
        <v>0</v>
      </c>
      <c r="Z7" s="103">
        <v>12500</v>
      </c>
      <c r="AA7" s="103">
        <v>12500</v>
      </c>
      <c r="AB7" s="103">
        <v>12500</v>
      </c>
      <c r="AC7" s="103">
        <v>33500</v>
      </c>
      <c r="AD7" s="103">
        <v>17500</v>
      </c>
      <c r="AE7" s="103">
        <v>0</v>
      </c>
      <c r="AF7" s="103">
        <v>0</v>
      </c>
      <c r="AG7" s="103">
        <v>0</v>
      </c>
      <c r="AH7" s="103">
        <v>0</v>
      </c>
      <c r="AI7" s="105">
        <f aca="true" t="shared" si="1" ref="AI7:AI20">SUM(X7:AH7)</f>
        <v>101000</v>
      </c>
      <c r="AJ7" s="104">
        <f>W7-AI7</f>
        <v>47500</v>
      </c>
    </row>
    <row r="8" spans="1:36" ht="25.5">
      <c r="A8" s="100">
        <v>3</v>
      </c>
      <c r="B8" s="101" t="s">
        <v>291</v>
      </c>
      <c r="C8" s="102"/>
      <c r="D8" s="102"/>
      <c r="E8" s="102"/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v>0</v>
      </c>
      <c r="O8" s="103">
        <v>0</v>
      </c>
      <c r="P8" s="103">
        <v>0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4"/>
      <c r="W8" s="103">
        <f t="shared" si="0"/>
        <v>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v>0</v>
      </c>
      <c r="AD8" s="103">
        <v>0</v>
      </c>
      <c r="AE8" s="103">
        <v>0</v>
      </c>
      <c r="AF8" s="103">
        <v>0</v>
      </c>
      <c r="AG8" s="103">
        <v>0</v>
      </c>
      <c r="AH8" s="103">
        <v>0</v>
      </c>
      <c r="AI8" s="105">
        <f t="shared" si="1"/>
        <v>0</v>
      </c>
      <c r="AJ8" s="104">
        <f>W8-AI8</f>
        <v>0</v>
      </c>
    </row>
    <row r="9" spans="1:36" ht="23.25">
      <c r="A9" s="106">
        <v>4</v>
      </c>
      <c r="B9" s="101" t="s">
        <v>292</v>
      </c>
      <c r="C9" s="107"/>
      <c r="D9" s="107"/>
      <c r="E9" s="107"/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>
        <v>0</v>
      </c>
      <c r="M9" s="108">
        <v>71669.25</v>
      </c>
      <c r="N9" s="108">
        <v>0</v>
      </c>
      <c r="O9" s="108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9"/>
      <c r="W9" s="110">
        <f t="shared" si="0"/>
        <v>71669.25</v>
      </c>
      <c r="X9" s="108">
        <v>0</v>
      </c>
      <c r="Y9" s="108">
        <v>0</v>
      </c>
      <c r="Z9" s="108">
        <v>0</v>
      </c>
      <c r="AA9" s="108">
        <v>0</v>
      </c>
      <c r="AB9" s="108">
        <v>0</v>
      </c>
      <c r="AC9" s="108">
        <v>55742.75</v>
      </c>
      <c r="AD9" s="108">
        <v>7963.25</v>
      </c>
      <c r="AE9" s="108">
        <v>0</v>
      </c>
      <c r="AF9" s="108">
        <v>0</v>
      </c>
      <c r="AG9" s="108">
        <v>0</v>
      </c>
      <c r="AH9" s="108">
        <v>0</v>
      </c>
      <c r="AI9" s="105">
        <f t="shared" si="1"/>
        <v>63706</v>
      </c>
      <c r="AJ9" s="104">
        <f>W9-AI9</f>
        <v>7963.25</v>
      </c>
    </row>
    <row r="10" spans="1:36" ht="21">
      <c r="A10" s="112">
        <v>5</v>
      </c>
      <c r="B10" s="113" t="s">
        <v>293</v>
      </c>
      <c r="C10" s="114"/>
      <c r="D10" s="114"/>
      <c r="E10" s="114"/>
      <c r="F10" s="115">
        <v>0</v>
      </c>
      <c r="G10" s="115">
        <v>0</v>
      </c>
      <c r="H10" s="115">
        <v>0</v>
      </c>
      <c r="I10" s="115">
        <v>30630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/>
      <c r="W10" s="110">
        <f t="shared" si="0"/>
        <v>30630</v>
      </c>
      <c r="X10" s="115">
        <v>0</v>
      </c>
      <c r="Y10" s="115">
        <v>0</v>
      </c>
      <c r="Z10" s="115">
        <v>0</v>
      </c>
      <c r="AA10" s="115">
        <v>8870</v>
      </c>
      <c r="AB10" s="115">
        <v>8870</v>
      </c>
      <c r="AC10" s="115">
        <v>0</v>
      </c>
      <c r="AD10" s="115">
        <v>0</v>
      </c>
      <c r="AE10" s="115">
        <v>0</v>
      </c>
      <c r="AF10" s="115">
        <v>0</v>
      </c>
      <c r="AG10" s="115">
        <v>0</v>
      </c>
      <c r="AH10" s="115">
        <v>0</v>
      </c>
      <c r="AI10" s="105">
        <f t="shared" si="1"/>
        <v>17740</v>
      </c>
      <c r="AJ10" s="111">
        <f aca="true" t="shared" si="2" ref="AJ10:AJ18">W10-AI10</f>
        <v>12890</v>
      </c>
    </row>
    <row r="11" spans="1:36" ht="21">
      <c r="A11" s="112">
        <v>6</v>
      </c>
      <c r="B11" s="113" t="s">
        <v>294</v>
      </c>
      <c r="C11" s="130">
        <v>58000</v>
      </c>
      <c r="D11" s="114"/>
      <c r="E11" s="114">
        <v>0</v>
      </c>
      <c r="F11" s="115">
        <v>1110300</v>
      </c>
      <c r="G11" s="115">
        <v>0</v>
      </c>
      <c r="H11" s="115">
        <v>0</v>
      </c>
      <c r="I11" s="115">
        <v>740200</v>
      </c>
      <c r="J11" s="115">
        <v>0</v>
      </c>
      <c r="K11" s="115">
        <v>0</v>
      </c>
      <c r="L11" s="115">
        <v>0</v>
      </c>
      <c r="M11" s="115">
        <v>721700</v>
      </c>
      <c r="N11" s="115">
        <v>370100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/>
      <c r="W11" s="110">
        <f>SUM(D11:U11)-(H11+L11+P11)</f>
        <v>2942300</v>
      </c>
      <c r="X11" s="115">
        <v>737000</v>
      </c>
      <c r="Y11" s="115">
        <v>368100</v>
      </c>
      <c r="Z11" s="115">
        <v>367500</v>
      </c>
      <c r="AA11" s="115">
        <v>0</v>
      </c>
      <c r="AB11" s="115">
        <v>0</v>
      </c>
      <c r="AC11" s="115">
        <v>0</v>
      </c>
      <c r="AD11" s="115">
        <v>0</v>
      </c>
      <c r="AE11" s="115">
        <v>0</v>
      </c>
      <c r="AF11" s="115">
        <v>0</v>
      </c>
      <c r="AG11" s="115">
        <v>0</v>
      </c>
      <c r="AH11" s="115">
        <v>0</v>
      </c>
      <c r="AI11" s="105">
        <f t="shared" si="1"/>
        <v>1472600</v>
      </c>
      <c r="AJ11" s="111">
        <f>W11-AI11+H11+L11+P11</f>
        <v>1469700</v>
      </c>
    </row>
    <row r="12" spans="1:36" ht="21">
      <c r="A12" s="112">
        <v>7</v>
      </c>
      <c r="B12" s="113" t="s">
        <v>295</v>
      </c>
      <c r="C12" s="114">
        <v>0</v>
      </c>
      <c r="D12" s="114"/>
      <c r="E12" s="114"/>
      <c r="F12" s="115">
        <v>194400</v>
      </c>
      <c r="G12" s="115">
        <v>0</v>
      </c>
      <c r="H12" s="115">
        <v>0</v>
      </c>
      <c r="I12" s="115">
        <v>194400</v>
      </c>
      <c r="J12" s="115">
        <v>0</v>
      </c>
      <c r="K12" s="115">
        <v>0</v>
      </c>
      <c r="L12" s="115">
        <v>0</v>
      </c>
      <c r="M12" s="115">
        <v>64800</v>
      </c>
      <c r="N12" s="115">
        <v>64800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/>
      <c r="W12" s="103">
        <f>SUM(D12:U12)-(P12)</f>
        <v>518400</v>
      </c>
      <c r="X12" s="115">
        <v>128800</v>
      </c>
      <c r="Y12" s="115">
        <v>64000</v>
      </c>
      <c r="Z12" s="115">
        <v>63200</v>
      </c>
      <c r="AA12" s="115">
        <v>0</v>
      </c>
      <c r="AB12" s="115">
        <v>0</v>
      </c>
      <c r="AC12" s="115">
        <v>0</v>
      </c>
      <c r="AD12" s="115">
        <v>0</v>
      </c>
      <c r="AE12" s="115">
        <v>0</v>
      </c>
      <c r="AF12" s="115">
        <v>0</v>
      </c>
      <c r="AG12" s="115">
        <v>0</v>
      </c>
      <c r="AH12" s="115">
        <v>0</v>
      </c>
      <c r="AI12" s="105">
        <f t="shared" si="1"/>
        <v>256000</v>
      </c>
      <c r="AJ12" s="111">
        <f>W12-AI12+H12+L12+P12</f>
        <v>262400</v>
      </c>
    </row>
    <row r="13" spans="1:36" ht="21">
      <c r="A13" s="112">
        <v>10</v>
      </c>
      <c r="B13" s="113" t="s">
        <v>296</v>
      </c>
      <c r="C13" s="114">
        <v>450</v>
      </c>
      <c r="D13" s="114"/>
      <c r="E13" s="114"/>
      <c r="F13" s="115">
        <v>1500</v>
      </c>
      <c r="G13" s="115">
        <v>0</v>
      </c>
      <c r="H13" s="115">
        <v>0</v>
      </c>
      <c r="I13" s="115">
        <v>1000</v>
      </c>
      <c r="J13" s="115">
        <v>0</v>
      </c>
      <c r="K13" s="115">
        <v>0</v>
      </c>
      <c r="L13" s="115">
        <v>0</v>
      </c>
      <c r="M13" s="115">
        <v>2000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/>
      <c r="W13" s="103">
        <f t="shared" si="0"/>
        <v>4500</v>
      </c>
      <c r="X13" s="115">
        <v>500</v>
      </c>
      <c r="Y13" s="115">
        <v>500</v>
      </c>
      <c r="Z13" s="115">
        <v>500</v>
      </c>
      <c r="AA13" s="115">
        <v>500</v>
      </c>
      <c r="AB13" s="115">
        <v>500</v>
      </c>
      <c r="AC13" s="115">
        <v>500</v>
      </c>
      <c r="AD13" s="115">
        <v>500</v>
      </c>
      <c r="AE13" s="115">
        <v>0</v>
      </c>
      <c r="AF13" s="115">
        <v>0</v>
      </c>
      <c r="AG13" s="115">
        <v>0</v>
      </c>
      <c r="AH13" s="115">
        <v>0</v>
      </c>
      <c r="AI13" s="105">
        <f t="shared" si="1"/>
        <v>3500</v>
      </c>
      <c r="AJ13" s="111">
        <f t="shared" si="2"/>
        <v>1000</v>
      </c>
    </row>
    <row r="14" spans="1:36" ht="21">
      <c r="A14" s="112">
        <v>11</v>
      </c>
      <c r="B14" s="113" t="s">
        <v>297</v>
      </c>
      <c r="C14" s="114">
        <v>9000</v>
      </c>
      <c r="D14" s="114"/>
      <c r="E14" s="114"/>
      <c r="F14" s="115">
        <v>30000</v>
      </c>
      <c r="G14" s="115">
        <v>0</v>
      </c>
      <c r="H14" s="115">
        <v>0</v>
      </c>
      <c r="I14" s="115">
        <v>20000</v>
      </c>
      <c r="J14" s="115">
        <v>0</v>
      </c>
      <c r="K14" s="115">
        <v>0</v>
      </c>
      <c r="L14" s="115">
        <v>0</v>
      </c>
      <c r="M14" s="115">
        <v>40000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5"/>
      <c r="W14" s="103">
        <f t="shared" si="0"/>
        <v>90000</v>
      </c>
      <c r="X14" s="115">
        <f>10000+10000</f>
        <v>20000</v>
      </c>
      <c r="Y14" s="115">
        <v>10000</v>
      </c>
      <c r="Z14" s="115">
        <f>10000</f>
        <v>10000</v>
      </c>
      <c r="AA14" s="115">
        <v>10000</v>
      </c>
      <c r="AB14" s="115">
        <v>0</v>
      </c>
      <c r="AC14" s="115">
        <v>20000</v>
      </c>
      <c r="AD14" s="115">
        <v>10000</v>
      </c>
      <c r="AE14" s="115">
        <v>0</v>
      </c>
      <c r="AF14" s="115">
        <v>0</v>
      </c>
      <c r="AG14" s="115">
        <v>0</v>
      </c>
      <c r="AH14" s="115">
        <v>0</v>
      </c>
      <c r="AI14" s="105">
        <f t="shared" si="1"/>
        <v>80000</v>
      </c>
      <c r="AJ14" s="111">
        <f t="shared" si="2"/>
        <v>10000</v>
      </c>
    </row>
    <row r="15" spans="1:36" ht="21">
      <c r="A15" s="112">
        <v>12</v>
      </c>
      <c r="B15" s="113" t="s">
        <v>328</v>
      </c>
      <c r="C15" s="114"/>
      <c r="D15" s="114"/>
      <c r="E15" s="114"/>
      <c r="F15" s="115">
        <v>23100</v>
      </c>
      <c r="G15" s="115">
        <v>0</v>
      </c>
      <c r="H15" s="115">
        <v>0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/>
      <c r="W15" s="103">
        <f t="shared" si="0"/>
        <v>23100</v>
      </c>
      <c r="X15" s="115">
        <v>0</v>
      </c>
      <c r="Y15" s="115">
        <v>23100</v>
      </c>
      <c r="Z15" s="115">
        <v>0</v>
      </c>
      <c r="AA15" s="115">
        <v>0</v>
      </c>
      <c r="AB15" s="115">
        <v>0</v>
      </c>
      <c r="AC15" s="115">
        <v>0</v>
      </c>
      <c r="AD15" s="115">
        <v>0</v>
      </c>
      <c r="AE15" s="115">
        <v>0</v>
      </c>
      <c r="AF15" s="115">
        <v>0</v>
      </c>
      <c r="AG15" s="115">
        <v>0</v>
      </c>
      <c r="AH15" s="115">
        <v>0</v>
      </c>
      <c r="AI15" s="105">
        <f t="shared" si="1"/>
        <v>23100</v>
      </c>
      <c r="AJ15" s="111">
        <f t="shared" si="2"/>
        <v>0</v>
      </c>
    </row>
    <row r="16" spans="1:36" ht="21">
      <c r="A16" s="112"/>
      <c r="B16" s="113" t="s">
        <v>298</v>
      </c>
      <c r="C16" s="114"/>
      <c r="D16" s="114"/>
      <c r="E16" s="114"/>
      <c r="F16" s="115"/>
      <c r="G16" s="115"/>
      <c r="H16" s="115"/>
      <c r="I16" s="115">
        <v>35000</v>
      </c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3">
        <f t="shared" si="0"/>
        <v>35000</v>
      </c>
      <c r="X16" s="115">
        <v>0</v>
      </c>
      <c r="Y16" s="115">
        <v>0</v>
      </c>
      <c r="Z16" s="115">
        <v>35000</v>
      </c>
      <c r="AA16" s="115">
        <v>0</v>
      </c>
      <c r="AB16" s="115">
        <v>0</v>
      </c>
      <c r="AC16" s="115">
        <v>0</v>
      </c>
      <c r="AD16" s="115">
        <v>0</v>
      </c>
      <c r="AE16" s="115">
        <v>0</v>
      </c>
      <c r="AF16" s="115">
        <v>0</v>
      </c>
      <c r="AG16" s="115">
        <v>0</v>
      </c>
      <c r="AH16" s="115">
        <v>0</v>
      </c>
      <c r="AI16" s="105"/>
      <c r="AJ16" s="111"/>
    </row>
    <row r="17" spans="1:37" ht="21">
      <c r="A17" s="112">
        <v>13</v>
      </c>
      <c r="B17" s="113" t="s">
        <v>299</v>
      </c>
      <c r="C17" s="114"/>
      <c r="D17" s="114"/>
      <c r="E17" s="114"/>
      <c r="F17" s="115">
        <v>0</v>
      </c>
      <c r="G17" s="115">
        <v>0</v>
      </c>
      <c r="H17" s="115">
        <v>0</v>
      </c>
      <c r="I17" s="115">
        <v>0</v>
      </c>
      <c r="J17" s="115">
        <v>32500</v>
      </c>
      <c r="K17" s="115">
        <v>0</v>
      </c>
      <c r="L17" s="115">
        <v>0</v>
      </c>
      <c r="M17" s="115">
        <v>32500</v>
      </c>
      <c r="N17" s="115">
        <v>0</v>
      </c>
      <c r="O17" s="115">
        <v>0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/>
      <c r="W17" s="103">
        <f t="shared" si="0"/>
        <v>65000</v>
      </c>
      <c r="X17" s="115">
        <v>0</v>
      </c>
      <c r="Y17" s="115">
        <v>0</v>
      </c>
      <c r="Z17" s="115">
        <v>0</v>
      </c>
      <c r="AA17" s="115">
        <v>0</v>
      </c>
      <c r="AB17" s="115">
        <v>0</v>
      </c>
      <c r="AC17" s="115">
        <v>0</v>
      </c>
      <c r="AD17" s="115">
        <v>0</v>
      </c>
      <c r="AE17" s="115">
        <v>0</v>
      </c>
      <c r="AF17" s="115">
        <v>0</v>
      </c>
      <c r="AG17" s="115">
        <v>0</v>
      </c>
      <c r="AH17" s="115">
        <v>0</v>
      </c>
      <c r="AI17" s="105">
        <f t="shared" si="1"/>
        <v>0</v>
      </c>
      <c r="AJ17" s="111">
        <f t="shared" si="2"/>
        <v>65000</v>
      </c>
      <c r="AK17" s="116"/>
    </row>
    <row r="18" spans="1:36" ht="21">
      <c r="A18" s="112">
        <v>14</v>
      </c>
      <c r="B18" s="113" t="s">
        <v>300</v>
      </c>
      <c r="C18" s="114"/>
      <c r="D18" s="114"/>
      <c r="E18" s="114"/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0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/>
      <c r="W18" s="103">
        <f t="shared" si="0"/>
        <v>0</v>
      </c>
      <c r="X18" s="115">
        <v>0</v>
      </c>
      <c r="Y18" s="115">
        <v>0</v>
      </c>
      <c r="Z18" s="115">
        <v>0</v>
      </c>
      <c r="AA18" s="115">
        <v>0</v>
      </c>
      <c r="AB18" s="115">
        <v>0</v>
      </c>
      <c r="AC18" s="115">
        <v>0</v>
      </c>
      <c r="AD18" s="115">
        <v>0</v>
      </c>
      <c r="AE18" s="115">
        <v>0</v>
      </c>
      <c r="AF18" s="115">
        <v>0</v>
      </c>
      <c r="AG18" s="115">
        <v>0</v>
      </c>
      <c r="AH18" s="115">
        <v>0</v>
      </c>
      <c r="AI18" s="105">
        <f t="shared" si="1"/>
        <v>0</v>
      </c>
      <c r="AJ18" s="111">
        <f t="shared" si="2"/>
        <v>0</v>
      </c>
    </row>
    <row r="19" spans="1:36" ht="21">
      <c r="A19" s="112">
        <v>16</v>
      </c>
      <c r="B19" s="129" t="s">
        <v>249</v>
      </c>
      <c r="C19" s="114"/>
      <c r="D19" s="114"/>
      <c r="E19" s="114"/>
      <c r="F19" s="115">
        <v>0</v>
      </c>
      <c r="G19" s="115">
        <v>957200</v>
      </c>
      <c r="H19" s="115"/>
      <c r="I19" s="115">
        <v>1233000</v>
      </c>
      <c r="J19" s="115">
        <v>1233000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03">
        <f t="shared" si="0"/>
        <v>3423200</v>
      </c>
      <c r="X19" s="115">
        <v>0</v>
      </c>
      <c r="Y19" s="115">
        <v>957200</v>
      </c>
      <c r="Z19" s="115">
        <v>1233000</v>
      </c>
      <c r="AA19" s="115">
        <v>1233000</v>
      </c>
      <c r="AB19" s="115">
        <v>1534950</v>
      </c>
      <c r="AC19" s="115">
        <v>0</v>
      </c>
      <c r="AD19" s="115">
        <v>0</v>
      </c>
      <c r="AE19" s="115">
        <v>0</v>
      </c>
      <c r="AF19" s="115">
        <v>0</v>
      </c>
      <c r="AG19" s="115">
        <v>0</v>
      </c>
      <c r="AH19" s="115">
        <v>0</v>
      </c>
      <c r="AI19" s="127">
        <f t="shared" si="1"/>
        <v>4958150</v>
      </c>
      <c r="AJ19" s="128">
        <v>0</v>
      </c>
    </row>
    <row r="20" spans="1:36" ht="21">
      <c r="A20" s="132">
        <v>17</v>
      </c>
      <c r="B20" s="133" t="s">
        <v>370</v>
      </c>
      <c r="C20" s="134"/>
      <c r="D20" s="134"/>
      <c r="E20" s="134"/>
      <c r="F20" s="135"/>
      <c r="G20" s="135"/>
      <c r="H20" s="135"/>
      <c r="I20" s="135"/>
      <c r="J20" s="135"/>
      <c r="K20" s="135">
        <v>584769</v>
      </c>
      <c r="L20" s="135"/>
      <c r="M20" s="135"/>
      <c r="N20" s="135">
        <v>433907</v>
      </c>
      <c r="O20" s="135"/>
      <c r="P20" s="135"/>
      <c r="Q20" s="135"/>
      <c r="R20" s="135"/>
      <c r="S20" s="135"/>
      <c r="T20" s="135"/>
      <c r="U20" s="135"/>
      <c r="V20" s="135"/>
      <c r="W20" s="103">
        <f t="shared" si="0"/>
        <v>1018676</v>
      </c>
      <c r="X20" s="135"/>
      <c r="Y20" s="135"/>
      <c r="Z20" s="135"/>
      <c r="AA20" s="135"/>
      <c r="AB20" s="135">
        <v>584769</v>
      </c>
      <c r="AC20" s="135"/>
      <c r="AD20" s="135"/>
      <c r="AE20" s="135"/>
      <c r="AF20" s="135"/>
      <c r="AG20" s="135"/>
      <c r="AH20" s="135"/>
      <c r="AI20" s="127">
        <f t="shared" si="1"/>
        <v>584769</v>
      </c>
      <c r="AJ20" s="128">
        <v>0</v>
      </c>
    </row>
    <row r="21" spans="1:36" s="120" customFormat="1" ht="21.75" thickBot="1">
      <c r="A21" s="117"/>
      <c r="B21" s="118"/>
      <c r="C21" s="119">
        <f>SUM(C6:C20)</f>
        <v>427474.13</v>
      </c>
      <c r="D21" s="119">
        <f aca="true" t="shared" si="3" ref="D21:AJ21">SUM(D6:D20)</f>
        <v>0</v>
      </c>
      <c r="E21" s="119">
        <f t="shared" si="3"/>
        <v>0</v>
      </c>
      <c r="F21" s="119">
        <f t="shared" si="3"/>
        <v>1396800</v>
      </c>
      <c r="G21" s="119">
        <f t="shared" si="3"/>
        <v>957200</v>
      </c>
      <c r="H21" s="119">
        <f t="shared" si="3"/>
        <v>0</v>
      </c>
      <c r="I21" s="119">
        <f t="shared" si="3"/>
        <v>2291730</v>
      </c>
      <c r="J21" s="119">
        <f t="shared" si="3"/>
        <v>1265500</v>
      </c>
      <c r="K21" s="119">
        <f t="shared" si="3"/>
        <v>584769</v>
      </c>
      <c r="L21" s="119">
        <f t="shared" si="3"/>
        <v>0</v>
      </c>
      <c r="M21" s="119">
        <f t="shared" si="3"/>
        <v>1006169.25</v>
      </c>
      <c r="N21" s="119">
        <f t="shared" si="3"/>
        <v>868807</v>
      </c>
      <c r="O21" s="119">
        <f t="shared" si="3"/>
        <v>0</v>
      </c>
      <c r="P21" s="119">
        <f t="shared" si="3"/>
        <v>0</v>
      </c>
      <c r="Q21" s="119">
        <f t="shared" si="3"/>
        <v>0</v>
      </c>
      <c r="R21" s="119">
        <f t="shared" si="3"/>
        <v>0</v>
      </c>
      <c r="S21" s="119">
        <f t="shared" si="3"/>
        <v>0</v>
      </c>
      <c r="T21" s="119">
        <f t="shared" si="3"/>
        <v>0</v>
      </c>
      <c r="U21" s="119">
        <f t="shared" si="3"/>
        <v>0</v>
      </c>
      <c r="V21" s="119">
        <f t="shared" si="3"/>
        <v>0</v>
      </c>
      <c r="W21" s="119">
        <f t="shared" si="3"/>
        <v>8370975.25</v>
      </c>
      <c r="X21" s="119">
        <f t="shared" si="3"/>
        <v>898800</v>
      </c>
      <c r="Y21" s="119">
        <f t="shared" si="3"/>
        <v>1422900</v>
      </c>
      <c r="Z21" s="119">
        <f t="shared" si="3"/>
        <v>1721700</v>
      </c>
      <c r="AA21" s="119">
        <f t="shared" si="3"/>
        <v>1264870</v>
      </c>
      <c r="AB21" s="119">
        <f t="shared" si="3"/>
        <v>2141589</v>
      </c>
      <c r="AC21" s="119">
        <f t="shared" si="3"/>
        <v>109742.75</v>
      </c>
      <c r="AD21" s="119">
        <f t="shared" si="3"/>
        <v>35963.25</v>
      </c>
      <c r="AE21" s="119">
        <f t="shared" si="3"/>
        <v>0</v>
      </c>
      <c r="AF21" s="119">
        <f t="shared" si="3"/>
        <v>0</v>
      </c>
      <c r="AG21" s="119">
        <f t="shared" si="3"/>
        <v>0</v>
      </c>
      <c r="AH21" s="119">
        <f t="shared" si="3"/>
        <v>0</v>
      </c>
      <c r="AI21" s="119">
        <f t="shared" si="3"/>
        <v>7560565</v>
      </c>
      <c r="AJ21" s="119">
        <f t="shared" si="3"/>
        <v>1876453.25</v>
      </c>
    </row>
    <row r="22" ht="18.75" thickTop="1"/>
  </sheetData>
  <sheetProtection/>
  <mergeCells count="3">
    <mergeCell ref="A2:AJ2"/>
    <mergeCell ref="A3:AJ3"/>
    <mergeCell ref="A4:AJ4"/>
  </mergeCells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88"/>
  <sheetViews>
    <sheetView view="pageBreakPreview" zoomScale="110" zoomScaleNormal="110" zoomScaleSheetLayoutView="110" zoomScalePageLayoutView="0" workbookViewId="0" topLeftCell="A47">
      <selection activeCell="F53" sqref="F53"/>
    </sheetView>
  </sheetViews>
  <sheetFormatPr defaultColWidth="9.140625" defaultRowHeight="21.75" customHeight="1"/>
  <cols>
    <col min="1" max="1" width="19.28125" style="1" customWidth="1"/>
    <col min="2" max="2" width="16.28125" style="1" customWidth="1"/>
    <col min="3" max="3" width="16.00390625" style="201" customWidth="1"/>
    <col min="4" max="4" width="9.7109375" style="1" customWidth="1"/>
    <col min="5" max="5" width="15.28125" style="1" customWidth="1"/>
    <col min="6" max="6" width="19.00390625" style="2" customWidth="1"/>
    <col min="7" max="7" width="8.421875" style="1" customWidth="1"/>
    <col min="8" max="8" width="9.140625" style="1" customWidth="1"/>
    <col min="9" max="9" width="25.00390625" style="1" customWidth="1"/>
    <col min="10" max="10" width="16.57421875" style="1" customWidth="1"/>
    <col min="11" max="16384" width="9.140625" style="1" customWidth="1"/>
  </cols>
  <sheetData>
    <row r="1" spans="1:7" ht="15.75" customHeight="1">
      <c r="A1" s="459" t="s">
        <v>76</v>
      </c>
      <c r="B1" s="222"/>
      <c r="C1" s="460"/>
      <c r="D1" s="222"/>
      <c r="E1" s="222"/>
      <c r="F1" s="222"/>
      <c r="G1" s="461"/>
    </row>
    <row r="2" spans="1:7" ht="15.75" customHeight="1">
      <c r="A2" s="884" t="s">
        <v>329</v>
      </c>
      <c r="B2" s="885"/>
      <c r="C2" s="886"/>
      <c r="D2" s="884" t="s">
        <v>18</v>
      </c>
      <c r="E2" s="885"/>
      <c r="F2" s="885"/>
      <c r="G2" s="886"/>
    </row>
    <row r="3" spans="1:7" ht="21.75" customHeight="1" thickBot="1">
      <c r="A3" s="884"/>
      <c r="B3" s="885"/>
      <c r="C3" s="886"/>
      <c r="D3" s="159" t="s">
        <v>380</v>
      </c>
      <c r="E3" s="159"/>
      <c r="F3" s="246" t="s">
        <v>381</v>
      </c>
      <c r="G3" s="464"/>
    </row>
    <row r="4" spans="1:7" ht="15.75" customHeight="1">
      <c r="A4" s="465" t="s">
        <v>746</v>
      </c>
      <c r="B4" s="222"/>
      <c r="C4" s="260"/>
      <c r="D4" s="461"/>
      <c r="E4" s="465"/>
      <c r="F4" s="466">
        <v>34352737.11</v>
      </c>
      <c r="G4" s="467" t="s">
        <v>30</v>
      </c>
    </row>
    <row r="5" spans="1:7" ht="15.75" customHeight="1">
      <c r="A5" s="158" t="s">
        <v>108</v>
      </c>
      <c r="B5" s="159"/>
      <c r="C5" s="254"/>
      <c r="D5" s="464"/>
      <c r="E5" s="158"/>
      <c r="F5" s="468"/>
      <c r="G5" s="469"/>
    </row>
    <row r="6" spans="1:7" ht="15.75" customHeight="1">
      <c r="A6" s="470" t="s">
        <v>12</v>
      </c>
      <c r="B6" s="471" t="s">
        <v>13</v>
      </c>
      <c r="C6" s="472" t="s">
        <v>46</v>
      </c>
      <c r="D6" s="473"/>
      <c r="E6" s="470"/>
      <c r="F6" s="474"/>
      <c r="G6" s="464"/>
    </row>
    <row r="7" spans="1:7" ht="15.75" customHeight="1">
      <c r="A7" s="475"/>
      <c r="B7" s="476"/>
      <c r="C7" s="477"/>
      <c r="D7" s="464"/>
      <c r="E7" s="158"/>
      <c r="F7" s="478"/>
      <c r="G7" s="464"/>
    </row>
    <row r="8" spans="1:7" ht="15.75" customHeight="1">
      <c r="A8" s="158" t="s">
        <v>14</v>
      </c>
      <c r="B8" s="159"/>
      <c r="C8" s="254"/>
      <c r="D8" s="464"/>
      <c r="E8" s="158"/>
      <c r="F8" s="159"/>
      <c r="G8" s="464"/>
    </row>
    <row r="9" spans="1:7" ht="15.75" customHeight="1">
      <c r="A9" s="470" t="s">
        <v>51</v>
      </c>
      <c r="B9" s="471" t="s">
        <v>71</v>
      </c>
      <c r="C9" s="472" t="s">
        <v>46</v>
      </c>
      <c r="D9" s="473"/>
      <c r="E9" s="470"/>
      <c r="F9" s="159"/>
      <c r="G9" s="464"/>
    </row>
    <row r="10" spans="1:9" ht="15.75" customHeight="1">
      <c r="A10" s="687" t="s">
        <v>655</v>
      </c>
      <c r="B10" s="579" t="s">
        <v>656</v>
      </c>
      <c r="C10" s="580">
        <v>480</v>
      </c>
      <c r="D10" s="464"/>
      <c r="E10" s="470"/>
      <c r="F10" s="159"/>
      <c r="G10" s="464"/>
      <c r="I10" s="725" t="s">
        <v>654</v>
      </c>
    </row>
    <row r="11" spans="1:7" ht="15.75" customHeight="1">
      <c r="A11" s="687" t="s">
        <v>747</v>
      </c>
      <c r="B11" s="688" t="s">
        <v>748</v>
      </c>
      <c r="C11" s="580">
        <v>18621.9</v>
      </c>
      <c r="D11" s="464"/>
      <c r="E11" s="470"/>
      <c r="F11" s="159"/>
      <c r="G11" s="464"/>
    </row>
    <row r="12" spans="1:7" ht="15.75" customHeight="1">
      <c r="A12" s="687" t="s">
        <v>749</v>
      </c>
      <c r="B12" s="688" t="s">
        <v>750</v>
      </c>
      <c r="C12" s="580">
        <v>2376</v>
      </c>
      <c r="D12" s="464"/>
      <c r="E12" s="470"/>
      <c r="F12" s="159"/>
      <c r="G12" s="464"/>
    </row>
    <row r="13" spans="1:7" ht="15.75" customHeight="1">
      <c r="A13" s="687" t="s">
        <v>749</v>
      </c>
      <c r="B13" s="688" t="s">
        <v>751</v>
      </c>
      <c r="C13" s="580">
        <v>10835.77</v>
      </c>
      <c r="D13" s="469"/>
      <c r="E13" s="158"/>
      <c r="F13" s="171"/>
      <c r="G13" s="469"/>
    </row>
    <row r="14" spans="1:7" ht="15.75" customHeight="1">
      <c r="A14" s="687" t="s">
        <v>749</v>
      </c>
      <c r="B14" s="688" t="s">
        <v>752</v>
      </c>
      <c r="C14" s="580">
        <v>12913.56</v>
      </c>
      <c r="D14" s="469"/>
      <c r="E14" s="158"/>
      <c r="F14" s="171"/>
      <c r="G14" s="469"/>
    </row>
    <row r="15" spans="1:7" ht="15.75" customHeight="1">
      <c r="A15" s="687" t="s">
        <v>749</v>
      </c>
      <c r="B15" s="688" t="s">
        <v>753</v>
      </c>
      <c r="C15" s="580">
        <v>618.75</v>
      </c>
      <c r="D15" s="469"/>
      <c r="E15" s="158"/>
      <c r="F15" s="171"/>
      <c r="G15" s="469"/>
    </row>
    <row r="16" spans="1:7" ht="15.75" customHeight="1">
      <c r="A16" s="687" t="s">
        <v>749</v>
      </c>
      <c r="B16" s="688" t="s">
        <v>754</v>
      </c>
      <c r="C16" s="580">
        <v>445.5</v>
      </c>
      <c r="D16" s="469"/>
      <c r="E16" s="158"/>
      <c r="F16" s="171"/>
      <c r="G16" s="469"/>
    </row>
    <row r="17" spans="1:7" ht="15.75" customHeight="1">
      <c r="A17" s="687" t="s">
        <v>749</v>
      </c>
      <c r="B17" s="688" t="s">
        <v>755</v>
      </c>
      <c r="C17" s="580">
        <v>3000</v>
      </c>
      <c r="D17" s="469"/>
      <c r="E17" s="158"/>
      <c r="F17" s="171"/>
      <c r="G17" s="469"/>
    </row>
    <row r="18" spans="1:7" ht="15.75" customHeight="1">
      <c r="A18" s="687" t="s">
        <v>749</v>
      </c>
      <c r="B18" s="688" t="s">
        <v>756</v>
      </c>
      <c r="C18" s="580">
        <v>7425</v>
      </c>
      <c r="D18" s="469"/>
      <c r="E18" s="158"/>
      <c r="F18" s="171"/>
      <c r="G18" s="469"/>
    </row>
    <row r="19" spans="1:7" ht="15.75" customHeight="1">
      <c r="A19" s="687" t="s">
        <v>749</v>
      </c>
      <c r="B19" s="688" t="s">
        <v>757</v>
      </c>
      <c r="C19" s="580">
        <v>2475</v>
      </c>
      <c r="D19" s="469"/>
      <c r="E19" s="158"/>
      <c r="F19" s="171"/>
      <c r="G19" s="469"/>
    </row>
    <row r="20" spans="1:7" ht="15.75" customHeight="1">
      <c r="A20" s="687" t="s">
        <v>749</v>
      </c>
      <c r="B20" s="688" t="s">
        <v>758</v>
      </c>
      <c r="C20" s="580">
        <v>166671.4</v>
      </c>
      <c r="D20" s="469"/>
      <c r="E20" s="158"/>
      <c r="F20" s="171"/>
      <c r="G20" s="469"/>
    </row>
    <row r="21" spans="1:7" ht="15.75" customHeight="1">
      <c r="A21" s="687" t="s">
        <v>749</v>
      </c>
      <c r="B21" s="688" t="s">
        <v>759</v>
      </c>
      <c r="C21" s="580">
        <v>3767.97</v>
      </c>
      <c r="D21" s="469"/>
      <c r="E21" s="158"/>
      <c r="F21" s="171"/>
      <c r="G21" s="469"/>
    </row>
    <row r="22" spans="1:7" ht="15.75" customHeight="1">
      <c r="A22" s="687" t="s">
        <v>749</v>
      </c>
      <c r="B22" s="688" t="s">
        <v>760</v>
      </c>
      <c r="C22" s="580">
        <v>942.48</v>
      </c>
      <c r="D22" s="469"/>
      <c r="E22" s="158"/>
      <c r="F22" s="171"/>
      <c r="G22" s="469"/>
    </row>
    <row r="23" spans="1:7" ht="15.75" customHeight="1">
      <c r="A23" s="687" t="s">
        <v>749</v>
      </c>
      <c r="B23" s="688" t="s">
        <v>761</v>
      </c>
      <c r="C23" s="580">
        <v>310</v>
      </c>
      <c r="D23" s="469"/>
      <c r="E23" s="158"/>
      <c r="F23" s="171"/>
      <c r="G23" s="469"/>
    </row>
    <row r="24" spans="1:7" ht="15.75" customHeight="1">
      <c r="A24" s="687" t="s">
        <v>749</v>
      </c>
      <c r="B24" s="688" t="s">
        <v>762</v>
      </c>
      <c r="C24" s="580">
        <v>188.1</v>
      </c>
      <c r="D24" s="469"/>
      <c r="E24" s="158"/>
      <c r="F24" s="171"/>
      <c r="G24" s="469"/>
    </row>
    <row r="25" spans="1:7" ht="15.75" customHeight="1">
      <c r="A25" s="687" t="s">
        <v>749</v>
      </c>
      <c r="B25" s="688" t="s">
        <v>763</v>
      </c>
      <c r="C25" s="580">
        <v>312.6</v>
      </c>
      <c r="D25" s="469"/>
      <c r="E25" s="158"/>
      <c r="F25" s="171"/>
      <c r="G25" s="469"/>
    </row>
    <row r="26" spans="1:7" ht="15.75" customHeight="1">
      <c r="A26" s="687" t="s">
        <v>749</v>
      </c>
      <c r="B26" s="688" t="s">
        <v>764</v>
      </c>
      <c r="C26" s="580">
        <v>2367.66</v>
      </c>
      <c r="D26" s="469"/>
      <c r="E26" s="158"/>
      <c r="F26" s="171"/>
      <c r="G26" s="469"/>
    </row>
    <row r="27" spans="1:7" ht="15.75" customHeight="1">
      <c r="A27" s="687" t="s">
        <v>765</v>
      </c>
      <c r="B27" s="688" t="s">
        <v>766</v>
      </c>
      <c r="C27" s="580">
        <v>81</v>
      </c>
      <c r="D27" s="469"/>
      <c r="E27" s="158"/>
      <c r="F27" s="171"/>
      <c r="G27" s="469"/>
    </row>
    <row r="28" spans="1:7" ht="15.75" customHeight="1">
      <c r="A28" s="687" t="s">
        <v>765</v>
      </c>
      <c r="B28" s="688" t="s">
        <v>767</v>
      </c>
      <c r="C28" s="580">
        <v>70273</v>
      </c>
      <c r="D28" s="469"/>
      <c r="E28" s="158"/>
      <c r="F28" s="171">
        <f>C10+C11+C12+C14+C13+C15+C16+C17+C18+C19+C20+C21+C22+C23+C24+C25+C26+C27+C28</f>
        <v>304105.69000000006</v>
      </c>
      <c r="G28" s="469"/>
    </row>
    <row r="29" spans="1:9" ht="15.75" customHeight="1">
      <c r="A29" s="687"/>
      <c r="B29" s="688"/>
      <c r="C29" s="580"/>
      <c r="D29" s="469"/>
      <c r="E29" s="158"/>
      <c r="F29" s="171"/>
      <c r="G29" s="469"/>
      <c r="I29" s="184">
        <v>29515893.41</v>
      </c>
    </row>
    <row r="30" spans="1:7" ht="15.75" customHeight="1">
      <c r="A30" s="876" t="s">
        <v>75</v>
      </c>
      <c r="B30" s="877"/>
      <c r="C30" s="877"/>
      <c r="D30" s="878"/>
      <c r="E30" s="158"/>
      <c r="F30" s="482"/>
      <c r="G30" s="469"/>
    </row>
    <row r="31" spans="1:9" ht="15.75" customHeight="1">
      <c r="A31" s="865" t="s">
        <v>382</v>
      </c>
      <c r="B31" s="866"/>
      <c r="C31" s="866"/>
      <c r="D31" s="867"/>
      <c r="E31" s="158"/>
      <c r="F31" s="482"/>
      <c r="G31" s="469"/>
      <c r="I31" s="184"/>
    </row>
    <row r="32" spans="1:7" ht="15.75" customHeight="1">
      <c r="A32" s="483" t="s">
        <v>383</v>
      </c>
      <c r="B32" s="484" t="s">
        <v>659</v>
      </c>
      <c r="C32" s="485">
        <v>0</v>
      </c>
      <c r="D32" s="464" t="s">
        <v>30</v>
      </c>
      <c r="E32" s="158"/>
      <c r="F32" s="486">
        <f>SUM(C32:C35)</f>
        <v>0</v>
      </c>
      <c r="G32" s="469" t="s">
        <v>30</v>
      </c>
    </row>
    <row r="33" spans="1:9" ht="15.75" customHeight="1">
      <c r="A33" s="487"/>
      <c r="B33" s="484" t="s">
        <v>659</v>
      </c>
      <c r="C33" s="485"/>
      <c r="D33" s="464" t="s">
        <v>30</v>
      </c>
      <c r="E33" s="158"/>
      <c r="F33" s="486"/>
      <c r="G33" s="469"/>
      <c r="I33" s="136"/>
    </row>
    <row r="34" spans="1:9" ht="15.75" customHeight="1">
      <c r="A34" s="487"/>
      <c r="B34" s="484" t="s">
        <v>698</v>
      </c>
      <c r="C34" s="485"/>
      <c r="D34" s="464" t="s">
        <v>30</v>
      </c>
      <c r="E34" s="158"/>
      <c r="F34" s="486"/>
      <c r="G34" s="469"/>
      <c r="I34" s="136"/>
    </row>
    <row r="35" spans="1:9" ht="15.75" customHeight="1">
      <c r="A35" s="487"/>
      <c r="B35" s="488"/>
      <c r="C35" s="485">
        <v>0</v>
      </c>
      <c r="D35" s="464" t="s">
        <v>30</v>
      </c>
      <c r="E35" s="158"/>
      <c r="F35" s="486"/>
      <c r="G35" s="469"/>
      <c r="I35" s="136" t="e">
        <f>#REF!-#REF!</f>
        <v>#REF!</v>
      </c>
    </row>
    <row r="36" spans="1:7" ht="18" customHeight="1">
      <c r="A36" s="489" t="s">
        <v>384</v>
      </c>
      <c r="D36" s="464" t="s">
        <v>30</v>
      </c>
      <c r="E36" s="158"/>
      <c r="F36" s="482"/>
      <c r="G36" s="464"/>
    </row>
    <row r="37" spans="1:9" ht="15.75" customHeight="1">
      <c r="A37" s="890"/>
      <c r="B37" s="891"/>
      <c r="C37" s="485">
        <v>0</v>
      </c>
      <c r="D37" s="464" t="s">
        <v>30</v>
      </c>
      <c r="E37" s="158"/>
      <c r="F37" s="491"/>
      <c r="G37" s="469" t="s">
        <v>30</v>
      </c>
      <c r="I37" s="184">
        <f>F4</f>
        <v>34352737.11</v>
      </c>
    </row>
    <row r="38" spans="1:10" ht="15.75" customHeight="1" thickBot="1">
      <c r="A38" s="492" t="s">
        <v>768</v>
      </c>
      <c r="B38" s="480"/>
      <c r="C38" s="485"/>
      <c r="D38" s="464"/>
      <c r="E38" s="158"/>
      <c r="F38" s="493">
        <f>F4-F28-F32+F36+C37</f>
        <v>34048631.42</v>
      </c>
      <c r="G38" s="469" t="s">
        <v>30</v>
      </c>
      <c r="I38" s="184">
        <f>กระดาษทำการ!K5</f>
        <v>34048631.42</v>
      </c>
      <c r="J38" s="184"/>
    </row>
    <row r="39" spans="1:10" ht="15.75" customHeight="1" thickBot="1" thickTop="1">
      <c r="A39" s="494"/>
      <c r="B39" s="495"/>
      <c r="C39" s="496"/>
      <c r="D39" s="497"/>
      <c r="E39" s="494"/>
      <c r="F39" s="498" t="s">
        <v>74</v>
      </c>
      <c r="G39" s="497"/>
      <c r="I39" s="184"/>
      <c r="J39" s="184"/>
    </row>
    <row r="40" spans="1:9" ht="15.75" customHeight="1">
      <c r="A40" s="465" t="s">
        <v>34</v>
      </c>
      <c r="B40" s="222"/>
      <c r="C40" s="460"/>
      <c r="D40" s="222" t="s">
        <v>17</v>
      </c>
      <c r="E40" s="222"/>
      <c r="F40" s="262"/>
      <c r="G40" s="461"/>
      <c r="I40" s="184">
        <f>I37-I38</f>
        <v>304105.6899999976</v>
      </c>
    </row>
    <row r="41" spans="1:7" ht="15.75" customHeight="1">
      <c r="A41" s="158"/>
      <c r="B41" s="159"/>
      <c r="C41" s="499"/>
      <c r="D41" s="159"/>
      <c r="E41" s="159"/>
      <c r="F41" s="171"/>
      <c r="G41" s="464"/>
    </row>
    <row r="42" spans="1:9" ht="15.75" customHeight="1">
      <c r="A42" s="158" t="s">
        <v>574</v>
      </c>
      <c r="B42" s="159"/>
      <c r="C42" s="464"/>
      <c r="D42" s="868" t="s">
        <v>575</v>
      </c>
      <c r="E42" s="792"/>
      <c r="F42" s="792"/>
      <c r="G42" s="869"/>
      <c r="I42" s="184" t="e">
        <f>F4-F28-F32-#REF!</f>
        <v>#REF!</v>
      </c>
    </row>
    <row r="43" spans="1:9" ht="15.75" customHeight="1">
      <c r="A43" s="868" t="s">
        <v>573</v>
      </c>
      <c r="B43" s="792"/>
      <c r="C43" s="869"/>
      <c r="D43" s="868" t="s">
        <v>699</v>
      </c>
      <c r="E43" s="792"/>
      <c r="F43" s="792"/>
      <c r="G43" s="869"/>
      <c r="I43" s="184"/>
    </row>
    <row r="44" spans="1:9" ht="15.75" customHeight="1">
      <c r="A44" s="863" t="s">
        <v>572</v>
      </c>
      <c r="B44" s="776"/>
      <c r="C44" s="864"/>
      <c r="D44" s="870" t="s">
        <v>700</v>
      </c>
      <c r="E44" s="871"/>
      <c r="F44" s="871"/>
      <c r="G44" s="872"/>
      <c r="I44" s="184"/>
    </row>
    <row r="45" spans="1:7" ht="15.75" customHeight="1" thickBot="1">
      <c r="A45" s="879"/>
      <c r="B45" s="880"/>
      <c r="C45" s="881"/>
      <c r="D45" s="873"/>
      <c r="E45" s="874"/>
      <c r="F45" s="874"/>
      <c r="G45" s="875"/>
    </row>
    <row r="46" spans="1:7" ht="15.75" customHeight="1">
      <c r="A46" s="170"/>
      <c r="B46" s="170"/>
      <c r="C46" s="170"/>
      <c r="D46" s="246"/>
      <c r="E46" s="246"/>
      <c r="F46" s="246"/>
      <c r="G46" s="246"/>
    </row>
    <row r="47" spans="1:7" ht="15.75" customHeight="1" thickBot="1">
      <c r="A47" s="170"/>
      <c r="B47" s="170"/>
      <c r="C47" s="170"/>
      <c r="D47" s="246"/>
      <c r="E47" s="246"/>
      <c r="F47" s="246"/>
      <c r="G47" s="246"/>
    </row>
    <row r="48" spans="1:7" ht="21.75" customHeight="1">
      <c r="A48" s="882" t="s">
        <v>76</v>
      </c>
      <c r="B48" s="883"/>
      <c r="C48" s="460"/>
      <c r="D48" s="222"/>
      <c r="E48" s="222"/>
      <c r="F48" s="222"/>
      <c r="G48" s="461"/>
    </row>
    <row r="49" spans="1:7" ht="21.75" customHeight="1">
      <c r="A49" s="158"/>
      <c r="B49" s="159"/>
      <c r="C49" s="499"/>
      <c r="D49" s="462"/>
      <c r="E49" s="218" t="s">
        <v>125</v>
      </c>
      <c r="F49" s="219" t="s">
        <v>127</v>
      </c>
      <c r="G49" s="463"/>
    </row>
    <row r="50" spans="1:7" ht="21.75" customHeight="1">
      <c r="A50" s="884" t="s">
        <v>329</v>
      </c>
      <c r="B50" s="885"/>
      <c r="C50" s="886"/>
      <c r="D50" s="246" t="s">
        <v>385</v>
      </c>
      <c r="E50" s="218" t="s">
        <v>126</v>
      </c>
      <c r="F50" s="159"/>
      <c r="G50" s="464"/>
    </row>
    <row r="51" spans="1:7" ht="21.75" customHeight="1" thickBot="1">
      <c r="A51" s="887"/>
      <c r="B51" s="888"/>
      <c r="C51" s="889"/>
      <c r="D51" s="501" t="s">
        <v>386</v>
      </c>
      <c r="E51" s="506"/>
      <c r="F51" s="506"/>
      <c r="G51" s="507"/>
    </row>
    <row r="52" spans="1:7" ht="21.75" customHeight="1">
      <c r="A52" s="465" t="s">
        <v>769</v>
      </c>
      <c r="B52" s="222"/>
      <c r="C52" s="260"/>
      <c r="D52" s="461"/>
      <c r="E52" s="508"/>
      <c r="F52" s="466">
        <v>403854.35</v>
      </c>
      <c r="G52" s="503"/>
    </row>
    <row r="53" spans="1:7" ht="21.75" customHeight="1">
      <c r="A53" s="158" t="s">
        <v>108</v>
      </c>
      <c r="B53" s="159"/>
      <c r="C53" s="254"/>
      <c r="D53" s="464"/>
      <c r="E53" s="158"/>
      <c r="F53" s="468"/>
      <c r="G53" s="503"/>
    </row>
    <row r="54" spans="1:7" ht="21.75" customHeight="1">
      <c r="A54" s="470" t="s">
        <v>12</v>
      </c>
      <c r="B54" s="471" t="s">
        <v>13</v>
      </c>
      <c r="C54" s="471" t="s">
        <v>46</v>
      </c>
      <c r="D54" s="473"/>
      <c r="E54" s="470"/>
      <c r="F54" s="474"/>
      <c r="G54" s="469" t="s">
        <v>30</v>
      </c>
    </row>
    <row r="55" spans="1:7" ht="21.75" customHeight="1">
      <c r="A55" s="509"/>
      <c r="B55" s="510"/>
      <c r="C55" s="477"/>
      <c r="D55" s="464"/>
      <c r="E55" s="158"/>
      <c r="F55" s="478"/>
      <c r="G55" s="469"/>
    </row>
    <row r="56" spans="1:7" ht="21.75" customHeight="1">
      <c r="A56" s="475"/>
      <c r="B56" s="476"/>
      <c r="C56" s="477"/>
      <c r="D56" s="464"/>
      <c r="E56" s="158"/>
      <c r="F56" s="171"/>
      <c r="G56" s="464"/>
    </row>
    <row r="57" spans="1:7" ht="21.75" customHeight="1">
      <c r="A57" s="158" t="s">
        <v>14</v>
      </c>
      <c r="B57" s="159"/>
      <c r="C57" s="254"/>
      <c r="D57" s="464"/>
      <c r="E57" s="158"/>
      <c r="F57" s="159"/>
      <c r="G57" s="464"/>
    </row>
    <row r="58" spans="1:7" ht="21.75" customHeight="1">
      <c r="A58" s="470" t="s">
        <v>51</v>
      </c>
      <c r="B58" s="471" t="s">
        <v>71</v>
      </c>
      <c r="C58" s="471" t="s">
        <v>46</v>
      </c>
      <c r="D58" s="473"/>
      <c r="E58" s="470"/>
      <c r="F58" s="159"/>
      <c r="G58" s="464"/>
    </row>
    <row r="59" spans="1:7" ht="21.75" customHeight="1">
      <c r="A59" s="479"/>
      <c r="B59" s="481"/>
      <c r="C59" s="511"/>
      <c r="D59" s="473"/>
      <c r="E59" s="470"/>
      <c r="F59" s="159"/>
      <c r="G59" s="464"/>
    </row>
    <row r="60" spans="1:7" ht="21.75" customHeight="1">
      <c r="A60" s="876" t="s">
        <v>75</v>
      </c>
      <c r="B60" s="877"/>
      <c r="C60" s="877"/>
      <c r="D60" s="878"/>
      <c r="E60" s="158"/>
      <c r="F60" s="482"/>
      <c r="G60" s="464"/>
    </row>
    <row r="61" spans="1:7" ht="21.75" customHeight="1">
      <c r="A61" s="865" t="s">
        <v>382</v>
      </c>
      <c r="B61" s="866"/>
      <c r="C61" s="866"/>
      <c r="D61" s="867"/>
      <c r="E61" s="158"/>
      <c r="F61" s="482"/>
      <c r="G61" s="469"/>
    </row>
    <row r="62" spans="1:7" ht="21.75" customHeight="1">
      <c r="A62" s="483" t="s">
        <v>383</v>
      </c>
      <c r="B62" s="727" t="s">
        <v>662</v>
      </c>
      <c r="C62" s="513">
        <v>20588</v>
      </c>
      <c r="D62" s="469" t="s">
        <v>30</v>
      </c>
      <c r="E62" s="514"/>
      <c r="F62" s="512">
        <f>C62+C63+C64+C68+C67+C69+C65+C66</f>
        <v>20588</v>
      </c>
      <c r="G62" s="469" t="s">
        <v>30</v>
      </c>
    </row>
    <row r="63" spans="1:7" ht="21.75" customHeight="1">
      <c r="A63" s="483"/>
      <c r="B63" s="727" t="s">
        <v>660</v>
      </c>
      <c r="C63" s="485"/>
      <c r="D63" s="469" t="s">
        <v>30</v>
      </c>
      <c r="E63" s="514"/>
      <c r="F63" s="512"/>
      <c r="G63" s="469"/>
    </row>
    <row r="64" spans="1:7" ht="21.75" customHeight="1">
      <c r="A64" s="483"/>
      <c r="B64" s="727" t="s">
        <v>662</v>
      </c>
      <c r="C64" s="513"/>
      <c r="D64" s="469" t="s">
        <v>30</v>
      </c>
      <c r="E64" s="514"/>
      <c r="F64" s="512"/>
      <c r="G64" s="469"/>
    </row>
    <row r="65" spans="1:7" ht="21.75" customHeight="1">
      <c r="A65" s="483"/>
      <c r="B65" s="727" t="s">
        <v>660</v>
      </c>
      <c r="C65" s="485"/>
      <c r="D65" s="469" t="s">
        <v>30</v>
      </c>
      <c r="E65" s="514"/>
      <c r="F65" s="512"/>
      <c r="G65" s="469"/>
    </row>
    <row r="66" spans="1:7" ht="21.75" customHeight="1">
      <c r="A66" s="483"/>
      <c r="B66" s="727" t="s">
        <v>541</v>
      </c>
      <c r="C66" s="485"/>
      <c r="D66" s="469" t="s">
        <v>30</v>
      </c>
      <c r="E66" s="514"/>
      <c r="F66" s="512"/>
      <c r="G66" s="469"/>
    </row>
    <row r="67" spans="1:7" ht="21.75" customHeight="1">
      <c r="A67" s="483"/>
      <c r="B67" s="731" t="s">
        <v>676</v>
      </c>
      <c r="C67" s="485"/>
      <c r="D67" s="469" t="s">
        <v>30</v>
      </c>
      <c r="E67" s="514"/>
      <c r="F67" s="512"/>
      <c r="G67" s="469"/>
    </row>
    <row r="68" spans="1:7" ht="21.75" customHeight="1">
      <c r="A68" s="483"/>
      <c r="B68" s="728" t="s">
        <v>416</v>
      </c>
      <c r="C68" s="513"/>
      <c r="D68" s="469" t="s">
        <v>30</v>
      </c>
      <c r="E68" s="514"/>
      <c r="F68" s="512"/>
      <c r="G68" s="469"/>
    </row>
    <row r="69" spans="1:7" ht="21.75" customHeight="1">
      <c r="A69" s="483"/>
      <c r="B69" s="731" t="s">
        <v>417</v>
      </c>
      <c r="C69" s="485"/>
      <c r="D69" s="469" t="s">
        <v>30</v>
      </c>
      <c r="E69" s="514"/>
      <c r="F69" s="512"/>
      <c r="G69" s="469"/>
    </row>
    <row r="70" spans="1:7" ht="21.75" customHeight="1">
      <c r="A70" s="483"/>
      <c r="C70" s="1"/>
      <c r="E70" s="514"/>
      <c r="F70" s="512"/>
      <c r="G70" s="469"/>
    </row>
    <row r="71" spans="1:9" ht="21.75" customHeight="1">
      <c r="A71" s="492"/>
      <c r="B71" s="728"/>
      <c r="C71" s="513"/>
      <c r="D71" s="469"/>
      <c r="E71" s="515"/>
      <c r="F71" s="486"/>
      <c r="G71" s="469"/>
      <c r="I71" s="2">
        <v>4089009</v>
      </c>
    </row>
    <row r="72" spans="1:9" ht="21.75" customHeight="1">
      <c r="A72" s="492"/>
      <c r="B72" s="727"/>
      <c r="C72" s="513"/>
      <c r="D72" s="469" t="s">
        <v>30</v>
      </c>
      <c r="E72" s="515"/>
      <c r="F72" s="486"/>
      <c r="G72" s="469"/>
      <c r="I72" s="2"/>
    </row>
    <row r="73" spans="1:9" ht="21.75" customHeight="1">
      <c r="A73" s="492"/>
      <c r="B73" s="728"/>
      <c r="C73" s="513"/>
      <c r="D73" s="469"/>
      <c r="E73" s="515"/>
      <c r="F73" s="486"/>
      <c r="G73" s="469"/>
      <c r="I73" s="2"/>
    </row>
    <row r="74" spans="1:7" ht="21.75" customHeight="1">
      <c r="A74" s="489" t="s">
        <v>384</v>
      </c>
      <c r="B74" s="490"/>
      <c r="C74" s="485">
        <v>0</v>
      </c>
      <c r="D74" s="469" t="s">
        <v>30</v>
      </c>
      <c r="E74" s="516"/>
      <c r="F74" s="220">
        <v>0</v>
      </c>
      <c r="G74" s="469" t="s">
        <v>30</v>
      </c>
    </row>
    <row r="75" spans="1:7" ht="21.75" customHeight="1" thickBot="1">
      <c r="A75" s="504" t="s">
        <v>120</v>
      </c>
      <c r="D75" s="469" t="s">
        <v>30</v>
      </c>
      <c r="E75" s="517"/>
      <c r="F75" s="505">
        <v>0</v>
      </c>
      <c r="G75" s="469" t="s">
        <v>30</v>
      </c>
    </row>
    <row r="76" spans="1:9" ht="21.75" customHeight="1" thickBot="1">
      <c r="A76" s="492" t="s">
        <v>770</v>
      </c>
      <c r="B76" s="480"/>
      <c r="C76" s="485"/>
      <c r="D76" s="464"/>
      <c r="E76" s="517"/>
      <c r="F76" s="466">
        <f>F52-F62</f>
        <v>383266.35</v>
      </c>
      <c r="G76" s="469" t="s">
        <v>30</v>
      </c>
      <c r="I76" s="2">
        <v>3577801.17</v>
      </c>
    </row>
    <row r="77" spans="1:9" ht="21.75" customHeight="1" thickBot="1" thickTop="1">
      <c r="A77" s="494"/>
      <c r="B77" s="495"/>
      <c r="C77" s="496"/>
      <c r="D77" s="497"/>
      <c r="E77" s="494"/>
      <c r="F77" s="518" t="s">
        <v>74</v>
      </c>
      <c r="G77" s="497"/>
      <c r="I77" s="184"/>
    </row>
    <row r="78" spans="1:9" ht="21.75" customHeight="1">
      <c r="A78" s="465" t="s">
        <v>34</v>
      </c>
      <c r="B78" s="222"/>
      <c r="C78" s="460"/>
      <c r="D78" s="222" t="s">
        <v>17</v>
      </c>
      <c r="E78" s="222"/>
      <c r="F78" s="262"/>
      <c r="G78" s="461"/>
      <c r="I78" s="184">
        <f>I76-F62</f>
        <v>3557213.17</v>
      </c>
    </row>
    <row r="79" spans="1:7" ht="21.75" customHeight="1">
      <c r="A79" s="158"/>
      <c r="B79" s="159"/>
      <c r="C79" s="499"/>
      <c r="D79" s="159"/>
      <c r="E79" s="159"/>
      <c r="F79" s="171"/>
      <c r="G79" s="464"/>
    </row>
    <row r="80" spans="1:7" ht="21.75" customHeight="1">
      <c r="A80" s="158" t="s">
        <v>574</v>
      </c>
      <c r="B80" s="159"/>
      <c r="C80" s="464"/>
      <c r="D80" s="868" t="s">
        <v>575</v>
      </c>
      <c r="E80" s="792"/>
      <c r="F80" s="792"/>
      <c r="G80" s="869"/>
    </row>
    <row r="81" spans="1:7" ht="21.75" customHeight="1">
      <c r="A81" s="868" t="s">
        <v>573</v>
      </c>
      <c r="B81" s="792"/>
      <c r="C81" s="869"/>
      <c r="D81" s="868" t="s">
        <v>699</v>
      </c>
      <c r="E81" s="792"/>
      <c r="F81" s="792"/>
      <c r="G81" s="869"/>
    </row>
    <row r="82" spans="1:7" ht="21.75" customHeight="1">
      <c r="A82" s="863" t="s">
        <v>572</v>
      </c>
      <c r="B82" s="776"/>
      <c r="C82" s="864"/>
      <c r="D82" s="870" t="s">
        <v>700</v>
      </c>
      <c r="E82" s="871"/>
      <c r="F82" s="871"/>
      <c r="G82" s="872"/>
    </row>
    <row r="83" spans="1:7" ht="21.75" customHeight="1" thickBot="1">
      <c r="A83" s="879"/>
      <c r="B83" s="880"/>
      <c r="C83" s="881"/>
      <c r="D83" s="873"/>
      <c r="E83" s="874"/>
      <c r="F83" s="874"/>
      <c r="G83" s="875"/>
    </row>
    <row r="84" spans="1:7" ht="21.75" customHeight="1">
      <c r="A84" s="221"/>
      <c r="B84" s="221"/>
      <c r="C84" s="221"/>
      <c r="D84" s="221"/>
      <c r="E84" s="221"/>
      <c r="F84" s="221"/>
      <c r="G84" s="221"/>
    </row>
    <row r="85" spans="1:7" ht="21.75" customHeight="1">
      <c r="A85" s="170"/>
      <c r="B85" s="170"/>
      <c r="C85" s="170"/>
      <c r="D85" s="170" t="s">
        <v>53</v>
      </c>
      <c r="E85" s="170"/>
      <c r="F85" s="170"/>
      <c r="G85" s="170"/>
    </row>
    <row r="86" spans="1:7" ht="21.75" customHeight="1">
      <c r="A86" s="170"/>
      <c r="B86" s="170"/>
      <c r="C86" s="170"/>
      <c r="D86" s="170"/>
      <c r="E86" s="170"/>
      <c r="F86" s="170"/>
      <c r="G86" s="170"/>
    </row>
    <row r="87" spans="1:7" ht="21.75" customHeight="1">
      <c r="A87" s="170"/>
      <c r="B87" s="170"/>
      <c r="C87" s="170"/>
      <c r="D87" s="170"/>
      <c r="E87" s="170"/>
      <c r="F87" s="170"/>
      <c r="G87" s="170"/>
    </row>
    <row r="88" spans="1:7" ht="21.75" customHeight="1" thickBot="1">
      <c r="A88" s="265"/>
      <c r="B88" s="265"/>
      <c r="C88" s="265"/>
      <c r="D88" s="265"/>
      <c r="E88" s="265"/>
      <c r="F88" s="265"/>
      <c r="G88" s="265"/>
    </row>
  </sheetData>
  <sheetProtection/>
  <mergeCells count="23">
    <mergeCell ref="A2:C3"/>
    <mergeCell ref="D2:G2"/>
    <mergeCell ref="A30:D30"/>
    <mergeCell ref="A31:D31"/>
    <mergeCell ref="A44:C44"/>
    <mergeCell ref="A37:B37"/>
    <mergeCell ref="D83:G83"/>
    <mergeCell ref="A60:D60"/>
    <mergeCell ref="D43:G43"/>
    <mergeCell ref="A83:C83"/>
    <mergeCell ref="A81:C81"/>
    <mergeCell ref="A48:B48"/>
    <mergeCell ref="D45:G45"/>
    <mergeCell ref="A50:C51"/>
    <mergeCell ref="A45:C45"/>
    <mergeCell ref="D82:G82"/>
    <mergeCell ref="A82:C82"/>
    <mergeCell ref="A61:D61"/>
    <mergeCell ref="D81:G81"/>
    <mergeCell ref="A43:C43"/>
    <mergeCell ref="D44:G44"/>
    <mergeCell ref="D42:G42"/>
    <mergeCell ref="D80:G80"/>
  </mergeCells>
  <printOptions horizontalCentered="1"/>
  <pageMargins left="0.3937007874015748" right="0.31496062992125984" top="0.7874015748031497" bottom="0.1968503937007874" header="0.4724409448818898" footer="0.15748031496062992"/>
  <pageSetup orientation="portrait" paperSize="9" scale="95" r:id="rId1"/>
  <rowBreaks count="2" manualBreakCount="2">
    <brk id="47" max="8" man="1"/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selection activeCell="E6" sqref="E6"/>
    </sheetView>
  </sheetViews>
  <sheetFormatPr defaultColWidth="25.140625" defaultRowHeight="21.75"/>
  <cols>
    <col min="1" max="1" width="31.421875" style="269" customWidth="1"/>
    <col min="2" max="2" width="8.00390625" style="269" customWidth="1"/>
    <col min="3" max="3" width="13.8515625" style="389" customWidth="1"/>
    <col min="4" max="4" width="13.8515625" style="386" customWidth="1"/>
    <col min="5" max="5" width="12.7109375" style="387" bestFit="1" customWidth="1"/>
    <col min="6" max="6" width="12.7109375" style="375" bestFit="1" customWidth="1"/>
    <col min="7" max="7" width="12.7109375" style="376" bestFit="1" customWidth="1"/>
    <col min="8" max="8" width="12.7109375" style="377" bestFit="1" customWidth="1"/>
    <col min="9" max="9" width="12.00390625" style="378" customWidth="1"/>
    <col min="10" max="10" width="12.7109375" style="379" bestFit="1" customWidth="1"/>
    <col min="11" max="11" width="13.8515625" style="380" bestFit="1" customWidth="1"/>
    <col min="12" max="12" width="14.00390625" style="381" customWidth="1"/>
    <col min="13" max="13" width="15.00390625" style="293" customWidth="1"/>
    <col min="14" max="14" width="25.140625" style="293" customWidth="1"/>
    <col min="15" max="16384" width="25.140625" style="269" customWidth="1"/>
  </cols>
  <sheetData>
    <row r="1" spans="1:18" ht="21">
      <c r="A1" s="804" t="s">
        <v>771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266"/>
      <c r="N1" s="267"/>
      <c r="O1" s="268"/>
      <c r="P1" s="268"/>
      <c r="Q1" s="268"/>
      <c r="R1" s="268"/>
    </row>
    <row r="2" spans="1:12" s="281" customFormat="1" ht="21">
      <c r="A2" s="270" t="s">
        <v>8</v>
      </c>
      <c r="B2" s="270" t="s">
        <v>47</v>
      </c>
      <c r="C2" s="271" t="s">
        <v>9</v>
      </c>
      <c r="D2" s="272" t="s">
        <v>10</v>
      </c>
      <c r="E2" s="273" t="s">
        <v>161</v>
      </c>
      <c r="F2" s="274" t="s">
        <v>22</v>
      </c>
      <c r="G2" s="275" t="s">
        <v>19</v>
      </c>
      <c r="H2" s="276" t="s">
        <v>21</v>
      </c>
      <c r="I2" s="277" t="s">
        <v>162</v>
      </c>
      <c r="J2" s="278" t="s">
        <v>20</v>
      </c>
      <c r="K2" s="279" t="s">
        <v>23</v>
      </c>
      <c r="L2" s="280" t="s">
        <v>24</v>
      </c>
    </row>
    <row r="3" spans="1:14" ht="21">
      <c r="A3" s="282" t="s">
        <v>78</v>
      </c>
      <c r="B3" s="283">
        <v>111100</v>
      </c>
      <c r="C3" s="284">
        <v>0</v>
      </c>
      <c r="D3" s="284">
        <v>0</v>
      </c>
      <c r="E3" s="285">
        <v>0</v>
      </c>
      <c r="F3" s="286">
        <v>0</v>
      </c>
      <c r="G3" s="287">
        <f>'ใบผ่านรายการ 1 '!G6</f>
        <v>69044</v>
      </c>
      <c r="H3" s="288">
        <f>'ใบผ่านรายการ 1 '!H6</f>
        <v>69044</v>
      </c>
      <c r="I3" s="289">
        <v>0</v>
      </c>
      <c r="J3" s="290">
        <v>0</v>
      </c>
      <c r="K3" s="291">
        <f>C3+E3+G3+I3-D3-F3-H3-J3</f>
        <v>0</v>
      </c>
      <c r="L3" s="292">
        <v>0</v>
      </c>
      <c r="N3" s="269"/>
    </row>
    <row r="4" spans="1:14" ht="21">
      <c r="A4" s="282" t="s">
        <v>25</v>
      </c>
      <c r="B4" s="283">
        <v>111203</v>
      </c>
      <c r="C4" s="284">
        <v>3268525.74</v>
      </c>
      <c r="D4" s="284">
        <v>0</v>
      </c>
      <c r="E4" s="285">
        <v>0</v>
      </c>
      <c r="F4" s="294">
        <f>ใบผ่านทั่วไป!G50</f>
        <v>5057350.7</v>
      </c>
      <c r="G4" s="295">
        <f>'ใบผ่านรายการ 1 '!G7</f>
        <v>2172091.31</v>
      </c>
      <c r="H4" s="296">
        <v>0</v>
      </c>
      <c r="I4" s="289">
        <v>0</v>
      </c>
      <c r="J4" s="297">
        <v>0</v>
      </c>
      <c r="K4" s="291">
        <f>C4+E4+G4+I4-D4-F4-H4-J4</f>
        <v>383266.35000000056</v>
      </c>
      <c r="L4" s="298">
        <v>0</v>
      </c>
      <c r="M4" s="269"/>
      <c r="N4" s="299"/>
    </row>
    <row r="5" spans="1:14" ht="21">
      <c r="A5" s="282" t="s">
        <v>102</v>
      </c>
      <c r="B5" s="300" t="s">
        <v>242</v>
      </c>
      <c r="C5" s="284">
        <v>33785862.47</v>
      </c>
      <c r="D5" s="284">
        <v>0</v>
      </c>
      <c r="E5" s="285">
        <f>ใบผ่านทั่วไป!F49</f>
        <v>5057350.7</v>
      </c>
      <c r="F5" s="294">
        <v>0</v>
      </c>
      <c r="G5" s="295">
        <f>'ใบผ่านรายการ 1 '!G8</f>
        <v>159059.01</v>
      </c>
      <c r="H5" s="296">
        <v>0</v>
      </c>
      <c r="I5" s="289">
        <v>0</v>
      </c>
      <c r="J5" s="297">
        <f>'ใบผ่านรายการ  2'!F46</f>
        <v>4953640.76</v>
      </c>
      <c r="K5" s="291">
        <f>C5+E5+G5+I5-D5-F5-H5-J5</f>
        <v>34048631.42</v>
      </c>
      <c r="L5" s="298">
        <v>0</v>
      </c>
      <c r="M5" s="299"/>
      <c r="N5" s="301">
        <f>SUM(K4:K8)+K10</f>
        <v>35518952.63</v>
      </c>
    </row>
    <row r="6" spans="1:14" ht="21">
      <c r="A6" s="302" t="s">
        <v>131</v>
      </c>
      <c r="B6" s="264">
        <v>111202</v>
      </c>
      <c r="C6" s="284">
        <v>957762.87</v>
      </c>
      <c r="D6" s="284">
        <v>0</v>
      </c>
      <c r="E6" s="303">
        <v>0</v>
      </c>
      <c r="F6" s="294">
        <v>0</v>
      </c>
      <c r="G6" s="295">
        <f>'ใบผ่านรายการ 1 '!G9</f>
        <v>0</v>
      </c>
      <c r="H6" s="296">
        <v>0</v>
      </c>
      <c r="I6" s="289">
        <v>0</v>
      </c>
      <c r="J6" s="297">
        <v>0</v>
      </c>
      <c r="K6" s="291">
        <f aca="true" t="shared" si="0" ref="K6:K31">C6+E6+G6+I6-D6-F6-H6-J6</f>
        <v>957762.87</v>
      </c>
      <c r="L6" s="298">
        <v>0</v>
      </c>
      <c r="M6" s="269"/>
      <c r="N6" s="269"/>
    </row>
    <row r="7" spans="1:14" ht="21">
      <c r="A7" s="302" t="s">
        <v>134</v>
      </c>
      <c r="B7" s="264" t="s">
        <v>239</v>
      </c>
      <c r="C7" s="284">
        <v>77.13</v>
      </c>
      <c r="D7" s="284">
        <v>0</v>
      </c>
      <c r="E7" s="285">
        <v>0</v>
      </c>
      <c r="F7" s="294">
        <v>0</v>
      </c>
      <c r="G7" s="295">
        <f>'ใบผ่านรายการ 1 '!G10</f>
        <v>0</v>
      </c>
      <c r="H7" s="296">
        <v>0</v>
      </c>
      <c r="I7" s="289">
        <v>0</v>
      </c>
      <c r="J7" s="297">
        <v>0</v>
      </c>
      <c r="K7" s="291">
        <f t="shared" si="0"/>
        <v>77.13</v>
      </c>
      <c r="L7" s="298">
        <v>0</v>
      </c>
      <c r="M7" s="299">
        <f>SUM(C3:C8)</f>
        <v>38141393.07</v>
      </c>
      <c r="N7" s="269"/>
    </row>
    <row r="8" spans="1:14" ht="21">
      <c r="A8" s="302" t="s">
        <v>122</v>
      </c>
      <c r="B8" s="304" t="s">
        <v>244</v>
      </c>
      <c r="C8" s="284">
        <v>129164.86</v>
      </c>
      <c r="D8" s="284">
        <v>0</v>
      </c>
      <c r="E8" s="285">
        <v>0</v>
      </c>
      <c r="F8" s="294">
        <v>0</v>
      </c>
      <c r="G8" s="295">
        <f>'ใบผ่านรายการ 1 '!G11</f>
        <v>0</v>
      </c>
      <c r="H8" s="296">
        <v>0</v>
      </c>
      <c r="I8" s="289">
        <v>0</v>
      </c>
      <c r="J8" s="297">
        <f>'ใบผ่านรายการ  2'!F47</f>
        <v>0</v>
      </c>
      <c r="K8" s="291">
        <f t="shared" si="0"/>
        <v>129164.86</v>
      </c>
      <c r="L8" s="298">
        <v>0</v>
      </c>
      <c r="M8" s="299">
        <f>SUM(K3:K8)</f>
        <v>35518902.63</v>
      </c>
      <c r="N8" s="269"/>
    </row>
    <row r="9" spans="1:14" ht="21">
      <c r="A9" s="302" t="s">
        <v>43</v>
      </c>
      <c r="B9" s="264">
        <v>112002</v>
      </c>
      <c r="C9" s="284">
        <v>5246321.23</v>
      </c>
      <c r="D9" s="284">
        <v>0</v>
      </c>
      <c r="E9" s="305">
        <v>0</v>
      </c>
      <c r="F9" s="294"/>
      <c r="G9" s="295">
        <v>0</v>
      </c>
      <c r="H9" s="296">
        <v>0</v>
      </c>
      <c r="I9" s="289">
        <f>'ใบผ่านรายการ  2'!E44</f>
        <v>0</v>
      </c>
      <c r="J9" s="297">
        <v>0</v>
      </c>
      <c r="K9" s="291">
        <f t="shared" si="0"/>
        <v>5246321.23</v>
      </c>
      <c r="L9" s="298">
        <v>0</v>
      </c>
      <c r="M9" s="269"/>
      <c r="N9" s="269"/>
    </row>
    <row r="10" spans="1:14" ht="21">
      <c r="A10" s="302" t="s">
        <v>249</v>
      </c>
      <c r="B10" s="263" t="s">
        <v>250</v>
      </c>
      <c r="C10" s="284">
        <v>50</v>
      </c>
      <c r="D10" s="306">
        <v>0</v>
      </c>
      <c r="E10" s="305">
        <v>0</v>
      </c>
      <c r="F10" s="294">
        <v>0</v>
      </c>
      <c r="G10" s="295">
        <v>0</v>
      </c>
      <c r="H10" s="296">
        <f>'ใบผ่านรายการ 1 '!H14</f>
        <v>0</v>
      </c>
      <c r="I10" s="307"/>
      <c r="J10" s="297"/>
      <c r="K10" s="291">
        <f>C10+E10+G10+I10-D10-F10-H10-J10</f>
        <v>50</v>
      </c>
      <c r="L10" s="298"/>
      <c r="M10" s="269"/>
      <c r="N10" s="269"/>
    </row>
    <row r="11" spans="1:12" s="313" customFormat="1" ht="21">
      <c r="A11" s="282" t="s">
        <v>45</v>
      </c>
      <c r="B11" s="283">
        <v>511000</v>
      </c>
      <c r="C11" s="284">
        <v>7151712.47</v>
      </c>
      <c r="D11" s="284">
        <v>0</v>
      </c>
      <c r="E11" s="308">
        <f>ใบผ่านทั่วไป!F7</f>
        <v>466900</v>
      </c>
      <c r="F11" s="309">
        <v>0</v>
      </c>
      <c r="G11" s="295">
        <v>0</v>
      </c>
      <c r="H11" s="318">
        <v>0</v>
      </c>
      <c r="I11" s="310">
        <f>'ใบผ่านรายการ  2'!E6</f>
        <v>249327</v>
      </c>
      <c r="J11" s="311">
        <v>0</v>
      </c>
      <c r="K11" s="291">
        <f>C11+E11+G11+I11-D11-F11-H11-J11</f>
        <v>7867939.47</v>
      </c>
      <c r="L11" s="312">
        <v>0</v>
      </c>
    </row>
    <row r="12" spans="1:13" s="313" customFormat="1" ht="21">
      <c r="A12" s="314" t="s">
        <v>221</v>
      </c>
      <c r="B12" s="315">
        <v>511000</v>
      </c>
      <c r="C12" s="316">
        <v>71669.25</v>
      </c>
      <c r="D12" s="317">
        <v>0</v>
      </c>
      <c r="E12" s="317">
        <v>0</v>
      </c>
      <c r="F12" s="317">
        <v>0</v>
      </c>
      <c r="G12" s="318">
        <v>0</v>
      </c>
      <c r="H12" s="318">
        <v>0</v>
      </c>
      <c r="I12" s="318">
        <f>'ใบผ่านรายการ  2'!E7</f>
        <v>0</v>
      </c>
      <c r="J12" s="317">
        <v>0</v>
      </c>
      <c r="K12" s="316">
        <f>C12+E12+G12+I12-D12-F12-H12-J12</f>
        <v>71669.25</v>
      </c>
      <c r="L12" s="317">
        <v>0</v>
      </c>
      <c r="M12" s="327">
        <f>C11+K12</f>
        <v>7223381.72</v>
      </c>
    </row>
    <row r="13" spans="1:12" s="313" customFormat="1" ht="21">
      <c r="A13" s="302" t="s">
        <v>185</v>
      </c>
      <c r="B13" s="264">
        <v>521000</v>
      </c>
      <c r="C13" s="284">
        <v>2187200</v>
      </c>
      <c r="D13" s="321">
        <v>0</v>
      </c>
      <c r="E13" s="308"/>
      <c r="F13" s="309"/>
      <c r="G13" s="295">
        <v>0</v>
      </c>
      <c r="H13" s="296">
        <v>0</v>
      </c>
      <c r="I13" s="322">
        <f>'ใบผ่านรายการ  2'!E8</f>
        <v>218720</v>
      </c>
      <c r="J13" s="311">
        <v>0</v>
      </c>
      <c r="K13" s="291">
        <f>C13+E13+G13+I13-D13-F13-H13-J13</f>
        <v>2405920</v>
      </c>
      <c r="L13" s="323">
        <v>0</v>
      </c>
    </row>
    <row r="14" spans="1:12" s="313" customFormat="1" ht="21">
      <c r="A14" s="302" t="s">
        <v>187</v>
      </c>
      <c r="B14" s="264">
        <v>522000</v>
      </c>
      <c r="C14" s="284">
        <v>9847448.35</v>
      </c>
      <c r="D14" s="321">
        <v>0</v>
      </c>
      <c r="E14" s="308">
        <v>0</v>
      </c>
      <c r="F14" s="309">
        <v>0</v>
      </c>
      <c r="G14" s="295">
        <v>0</v>
      </c>
      <c r="H14" s="296">
        <v>0</v>
      </c>
      <c r="I14" s="322">
        <f>'ใบผ่านรายการ  2'!E9</f>
        <v>1033715</v>
      </c>
      <c r="J14" s="311">
        <v>0</v>
      </c>
      <c r="K14" s="291">
        <f t="shared" si="0"/>
        <v>10881163.35</v>
      </c>
      <c r="L14" s="323">
        <v>0</v>
      </c>
    </row>
    <row r="15" spans="1:13" s="320" customFormat="1" ht="21">
      <c r="A15" s="324" t="s">
        <v>210</v>
      </c>
      <c r="B15" s="325">
        <v>522000</v>
      </c>
      <c r="C15" s="316">
        <v>0</v>
      </c>
      <c r="D15" s="317">
        <v>0</v>
      </c>
      <c r="E15" s="317">
        <v>0</v>
      </c>
      <c r="F15" s="317">
        <v>0</v>
      </c>
      <c r="G15" s="318">
        <v>0</v>
      </c>
      <c r="H15" s="318">
        <v>0</v>
      </c>
      <c r="I15" s="318">
        <v>0</v>
      </c>
      <c r="J15" s="317">
        <v>0</v>
      </c>
      <c r="K15" s="316">
        <f t="shared" si="0"/>
        <v>0</v>
      </c>
      <c r="L15" s="317">
        <v>0</v>
      </c>
      <c r="M15" s="319">
        <f>SUM(K13:K15)</f>
        <v>13287083.35</v>
      </c>
    </row>
    <row r="16" spans="1:14" s="313" customFormat="1" ht="21">
      <c r="A16" s="302" t="s">
        <v>188</v>
      </c>
      <c r="B16" s="264">
        <v>522000</v>
      </c>
      <c r="C16" s="284">
        <v>754720</v>
      </c>
      <c r="D16" s="321">
        <v>0</v>
      </c>
      <c r="E16" s="308">
        <v>0</v>
      </c>
      <c r="F16" s="309">
        <v>0</v>
      </c>
      <c r="G16" s="295">
        <v>0</v>
      </c>
      <c r="H16" s="296">
        <f>'ใบผ่านรายการ 1 '!H29</f>
        <v>0</v>
      </c>
      <c r="I16" s="322">
        <f>'ใบผ่านรายการ  2'!E10</f>
        <v>76480</v>
      </c>
      <c r="J16" s="311">
        <v>0</v>
      </c>
      <c r="K16" s="291">
        <f t="shared" si="0"/>
        <v>831200</v>
      </c>
      <c r="L16" s="323">
        <v>0</v>
      </c>
      <c r="N16" s="327">
        <f>C14+C16+C18</f>
        <v>14016218.35</v>
      </c>
    </row>
    <row r="17" spans="1:13" s="320" customFormat="1" ht="21">
      <c r="A17" s="326" t="s">
        <v>211</v>
      </c>
      <c r="B17" s="325">
        <v>522000</v>
      </c>
      <c r="C17" s="316">
        <v>0</v>
      </c>
      <c r="D17" s="317">
        <v>0</v>
      </c>
      <c r="E17" s="317">
        <v>0</v>
      </c>
      <c r="F17" s="317">
        <v>0</v>
      </c>
      <c r="G17" s="318">
        <v>0</v>
      </c>
      <c r="H17" s="318">
        <v>0</v>
      </c>
      <c r="I17" s="318">
        <v>0</v>
      </c>
      <c r="J17" s="317">
        <v>0</v>
      </c>
      <c r="K17" s="316">
        <f t="shared" si="0"/>
        <v>0</v>
      </c>
      <c r="L17" s="317">
        <v>0</v>
      </c>
      <c r="M17" s="319">
        <f>SUM(K16:K17)</f>
        <v>831200</v>
      </c>
    </row>
    <row r="18" spans="1:14" s="313" customFormat="1" ht="21">
      <c r="A18" s="302" t="s">
        <v>189</v>
      </c>
      <c r="B18" s="264">
        <v>522000</v>
      </c>
      <c r="C18" s="284">
        <v>3414050</v>
      </c>
      <c r="D18" s="321">
        <v>0</v>
      </c>
      <c r="E18" s="308">
        <v>0</v>
      </c>
      <c r="F18" s="309">
        <v>0</v>
      </c>
      <c r="G18" s="295">
        <v>0</v>
      </c>
      <c r="H18" s="296">
        <v>0</v>
      </c>
      <c r="I18" s="322">
        <f>'ใบผ่านรายการ  2'!E11</f>
        <v>324405</v>
      </c>
      <c r="J18" s="311">
        <v>0</v>
      </c>
      <c r="K18" s="291">
        <f t="shared" si="0"/>
        <v>3738455</v>
      </c>
      <c r="L18" s="323">
        <v>0</v>
      </c>
      <c r="N18" s="327">
        <f>SUM(K14:K19)</f>
        <v>15450818.35</v>
      </c>
    </row>
    <row r="19" spans="1:13" s="320" customFormat="1" ht="21">
      <c r="A19" s="324" t="s">
        <v>208</v>
      </c>
      <c r="B19" s="325">
        <v>522000</v>
      </c>
      <c r="C19" s="316">
        <v>0</v>
      </c>
      <c r="D19" s="317">
        <v>0</v>
      </c>
      <c r="E19" s="317">
        <v>0</v>
      </c>
      <c r="F19" s="317">
        <v>0</v>
      </c>
      <c r="G19" s="318">
        <v>0</v>
      </c>
      <c r="H19" s="318">
        <v>0</v>
      </c>
      <c r="I19" s="318">
        <v>0</v>
      </c>
      <c r="J19" s="317">
        <v>0</v>
      </c>
      <c r="K19" s="316">
        <f t="shared" si="0"/>
        <v>0</v>
      </c>
      <c r="L19" s="317">
        <v>0</v>
      </c>
      <c r="M19" s="319">
        <f>SUM(K18:K19)</f>
        <v>3738455</v>
      </c>
    </row>
    <row r="20" spans="1:14" s="313" customFormat="1" ht="21">
      <c r="A20" s="302" t="s">
        <v>0</v>
      </c>
      <c r="B20" s="264">
        <v>531000</v>
      </c>
      <c r="C20" s="284">
        <v>384850</v>
      </c>
      <c r="D20" s="321">
        <v>0</v>
      </c>
      <c r="E20" s="308">
        <v>0</v>
      </c>
      <c r="F20" s="309">
        <v>0</v>
      </c>
      <c r="G20" s="295">
        <v>0</v>
      </c>
      <c r="H20" s="296">
        <v>0</v>
      </c>
      <c r="I20" s="322">
        <f>'ใบผ่านรายการ  2'!E12</f>
        <v>46950</v>
      </c>
      <c r="J20" s="311">
        <v>0</v>
      </c>
      <c r="K20" s="291">
        <f t="shared" si="0"/>
        <v>431800</v>
      </c>
      <c r="L20" s="323">
        <v>0</v>
      </c>
      <c r="N20" s="327">
        <f>SUM(G11:G31)</f>
        <v>0</v>
      </c>
    </row>
    <row r="21" spans="1:14" s="320" customFormat="1" ht="21">
      <c r="A21" s="324" t="s">
        <v>209</v>
      </c>
      <c r="B21" s="325">
        <v>531000</v>
      </c>
      <c r="C21" s="316">
        <v>175070</v>
      </c>
      <c r="D21" s="317">
        <v>0</v>
      </c>
      <c r="E21" s="318">
        <v>0</v>
      </c>
      <c r="F21" s="317">
        <v>0</v>
      </c>
      <c r="G21" s="318">
        <v>0</v>
      </c>
      <c r="H21" s="318">
        <v>0</v>
      </c>
      <c r="I21" s="318">
        <f>'ใบผ่านรายการ  2'!E13</f>
        <v>14500</v>
      </c>
      <c r="J21" s="317">
        <v>0</v>
      </c>
      <c r="K21" s="316">
        <f t="shared" si="0"/>
        <v>189570</v>
      </c>
      <c r="L21" s="317">
        <v>0</v>
      </c>
      <c r="M21" s="319">
        <f>SUM(K20:K21)</f>
        <v>621370</v>
      </c>
      <c r="N21" s="319">
        <f>C20+C21</f>
        <v>559920</v>
      </c>
    </row>
    <row r="22" spans="1:12" s="313" customFormat="1" ht="21">
      <c r="A22" s="302" t="s">
        <v>1</v>
      </c>
      <c r="B22" s="264">
        <v>532000</v>
      </c>
      <c r="C22" s="284">
        <v>5167091.99</v>
      </c>
      <c r="D22" s="321">
        <v>0</v>
      </c>
      <c r="E22" s="308">
        <f>ใบผ่านทั่วไป!F132</f>
        <v>61800</v>
      </c>
      <c r="F22" s="309">
        <f>ใบผ่านทั่วไป!G92</f>
        <v>188.1</v>
      </c>
      <c r="G22" s="295">
        <v>0</v>
      </c>
      <c r="H22" s="296">
        <f>'ใบผ่านรายการ 1 '!H35</f>
        <v>0</v>
      </c>
      <c r="I22" s="328">
        <f>'ใบผ่านรายการ  2'!E14</f>
        <v>1322732.17</v>
      </c>
      <c r="J22" s="311">
        <v>0</v>
      </c>
      <c r="K22" s="291">
        <f t="shared" si="0"/>
        <v>6551436.0600000005</v>
      </c>
      <c r="L22" s="323">
        <v>0</v>
      </c>
    </row>
    <row r="23" spans="1:13" s="320" customFormat="1" ht="21">
      <c r="A23" s="324" t="s">
        <v>212</v>
      </c>
      <c r="B23" s="325">
        <v>532000</v>
      </c>
      <c r="C23" s="316">
        <v>0</v>
      </c>
      <c r="D23" s="317">
        <v>0</v>
      </c>
      <c r="E23" s="317">
        <v>0</v>
      </c>
      <c r="F23" s="317">
        <v>0</v>
      </c>
      <c r="G23" s="318">
        <v>0</v>
      </c>
      <c r="H23" s="318">
        <v>0</v>
      </c>
      <c r="I23" s="318">
        <v>0</v>
      </c>
      <c r="J23" s="317">
        <v>0</v>
      </c>
      <c r="K23" s="316">
        <f t="shared" si="0"/>
        <v>0</v>
      </c>
      <c r="L23" s="317">
        <v>0</v>
      </c>
      <c r="M23" s="319">
        <f>SUM(K22:K23)</f>
        <v>6551436.0600000005</v>
      </c>
    </row>
    <row r="24" spans="1:12" s="313" customFormat="1" ht="21">
      <c r="A24" s="302" t="s">
        <v>2</v>
      </c>
      <c r="B24" s="264">
        <v>533000</v>
      </c>
      <c r="C24" s="284">
        <v>1422629.22</v>
      </c>
      <c r="D24" s="321">
        <v>0</v>
      </c>
      <c r="E24" s="308">
        <v>0</v>
      </c>
      <c r="F24" s="309">
        <v>0</v>
      </c>
      <c r="G24" s="295">
        <v>0</v>
      </c>
      <c r="H24" s="296">
        <v>0</v>
      </c>
      <c r="I24" s="322">
        <f>'ใบผ่านรายการ  2'!E15</f>
        <v>264157.04</v>
      </c>
      <c r="J24" s="311">
        <v>0</v>
      </c>
      <c r="K24" s="291">
        <f t="shared" si="0"/>
        <v>1686786.26</v>
      </c>
      <c r="L24" s="323">
        <v>0</v>
      </c>
    </row>
    <row r="25" spans="1:13" s="320" customFormat="1" ht="21">
      <c r="A25" s="324" t="s">
        <v>213</v>
      </c>
      <c r="B25" s="325">
        <v>533000</v>
      </c>
      <c r="C25" s="316">
        <v>0</v>
      </c>
      <c r="D25" s="317">
        <v>0</v>
      </c>
      <c r="E25" s="317">
        <v>0</v>
      </c>
      <c r="F25" s="317">
        <v>0</v>
      </c>
      <c r="G25" s="318">
        <v>0</v>
      </c>
      <c r="H25" s="318">
        <v>0</v>
      </c>
      <c r="I25" s="318">
        <v>0</v>
      </c>
      <c r="J25" s="317">
        <v>0</v>
      </c>
      <c r="K25" s="316">
        <f t="shared" si="0"/>
        <v>0</v>
      </c>
      <c r="L25" s="317">
        <v>0</v>
      </c>
      <c r="M25" s="319">
        <f>SUM(K24:K25)</f>
        <v>1686786.26</v>
      </c>
    </row>
    <row r="26" spans="1:12" s="313" customFormat="1" ht="21">
      <c r="A26" s="302" t="s">
        <v>3</v>
      </c>
      <c r="B26" s="264">
        <v>534000</v>
      </c>
      <c r="C26" s="284">
        <v>305384.57</v>
      </c>
      <c r="D26" s="321">
        <v>0</v>
      </c>
      <c r="E26" s="308">
        <v>0</v>
      </c>
      <c r="F26" s="309">
        <v>0</v>
      </c>
      <c r="G26" s="295">
        <v>0</v>
      </c>
      <c r="H26" s="296">
        <f>'ใบผ่านรายการ 1 '!H30</f>
        <v>0</v>
      </c>
      <c r="I26" s="322">
        <f>'ใบผ่านรายการ  2'!E16</f>
        <v>56140.94</v>
      </c>
      <c r="J26" s="311">
        <v>0</v>
      </c>
      <c r="K26" s="291">
        <f t="shared" si="0"/>
        <v>361525.51</v>
      </c>
      <c r="L26" s="323">
        <v>0</v>
      </c>
    </row>
    <row r="27" spans="1:12" s="313" customFormat="1" ht="21">
      <c r="A27" s="302" t="s">
        <v>80</v>
      </c>
      <c r="B27" s="264">
        <v>541000</v>
      </c>
      <c r="C27" s="284">
        <v>385059</v>
      </c>
      <c r="D27" s="321">
        <v>0</v>
      </c>
      <c r="E27" s="308">
        <v>0</v>
      </c>
      <c r="F27" s="309">
        <v>0</v>
      </c>
      <c r="G27" s="295">
        <v>0</v>
      </c>
      <c r="H27" s="296">
        <v>0</v>
      </c>
      <c r="I27" s="322">
        <f>'ใบผ่านรายการ  2'!E18</f>
        <v>0</v>
      </c>
      <c r="J27" s="311">
        <v>0</v>
      </c>
      <c r="K27" s="291">
        <f t="shared" si="0"/>
        <v>385059</v>
      </c>
      <c r="L27" s="323">
        <v>0</v>
      </c>
    </row>
    <row r="28" spans="1:12" s="313" customFormat="1" ht="21">
      <c r="A28" s="302" t="s">
        <v>38</v>
      </c>
      <c r="B28" s="264">
        <v>542000</v>
      </c>
      <c r="C28" s="284">
        <v>491000</v>
      </c>
      <c r="D28" s="321">
        <v>0</v>
      </c>
      <c r="E28" s="308">
        <v>0</v>
      </c>
      <c r="F28" s="309">
        <v>0</v>
      </c>
      <c r="G28" s="295">
        <v>0</v>
      </c>
      <c r="H28" s="296">
        <v>0</v>
      </c>
      <c r="I28" s="322">
        <f>'ใบผ่านรายการ  2'!E19</f>
        <v>0</v>
      </c>
      <c r="J28" s="311">
        <v>0</v>
      </c>
      <c r="K28" s="291">
        <f>C28+E28+G28+I28-D28-F28-H28-J28</f>
        <v>491000</v>
      </c>
      <c r="L28" s="323">
        <v>0</v>
      </c>
    </row>
    <row r="29" spans="1:13" s="313" customFormat="1" ht="21">
      <c r="A29" s="329" t="s">
        <v>235</v>
      </c>
      <c r="B29" s="264">
        <v>542000</v>
      </c>
      <c r="C29" s="284">
        <v>0</v>
      </c>
      <c r="D29" s="321">
        <v>0</v>
      </c>
      <c r="E29" s="308">
        <v>0</v>
      </c>
      <c r="F29" s="309"/>
      <c r="G29" s="295">
        <v>0</v>
      </c>
      <c r="H29" s="296"/>
      <c r="I29" s="322">
        <f>'ใบผ่านรายการ  2'!E21</f>
        <v>0</v>
      </c>
      <c r="J29" s="311">
        <v>0</v>
      </c>
      <c r="K29" s="291">
        <f>C29+E29+G29+I29-D29-F29-H29-J29</f>
        <v>0</v>
      </c>
      <c r="L29" s="323">
        <v>0</v>
      </c>
      <c r="M29" s="327">
        <f>SUM(K28:K30)</f>
        <v>491000</v>
      </c>
    </row>
    <row r="30" spans="1:12" s="313" customFormat="1" ht="21">
      <c r="A30" s="329" t="s">
        <v>305</v>
      </c>
      <c r="B30" s="264">
        <v>542000</v>
      </c>
      <c r="C30" s="284">
        <v>0</v>
      </c>
      <c r="D30" s="321">
        <v>0</v>
      </c>
      <c r="E30" s="308"/>
      <c r="F30" s="309"/>
      <c r="G30" s="295">
        <v>0</v>
      </c>
      <c r="H30" s="296"/>
      <c r="I30" s="322">
        <f>'ใบผ่านรายการ  2'!E20</f>
        <v>0</v>
      </c>
      <c r="J30" s="311">
        <v>0</v>
      </c>
      <c r="K30" s="291">
        <f>C30+E30+G30+I30-D30-F30-H30-J30</f>
        <v>0</v>
      </c>
      <c r="L30" s="323">
        <v>0</v>
      </c>
    </row>
    <row r="31" spans="1:12" s="313" customFormat="1" ht="21">
      <c r="A31" s="302" t="s">
        <v>39</v>
      </c>
      <c r="B31" s="264">
        <v>551000</v>
      </c>
      <c r="C31" s="284">
        <v>0</v>
      </c>
      <c r="D31" s="321">
        <v>0</v>
      </c>
      <c r="E31" s="308">
        <v>0</v>
      </c>
      <c r="F31" s="309">
        <v>0</v>
      </c>
      <c r="G31" s="295">
        <v>0</v>
      </c>
      <c r="H31" s="296">
        <v>0</v>
      </c>
      <c r="I31" s="322">
        <f>'ใบผ่านรายการ  2'!E22</f>
        <v>0</v>
      </c>
      <c r="J31" s="311">
        <v>0</v>
      </c>
      <c r="K31" s="291">
        <f t="shared" si="0"/>
        <v>0</v>
      </c>
      <c r="L31" s="323">
        <v>0</v>
      </c>
    </row>
    <row r="32" spans="1:12" s="313" customFormat="1" ht="21">
      <c r="A32" s="302" t="s">
        <v>4</v>
      </c>
      <c r="B32" s="264">
        <v>561000</v>
      </c>
      <c r="C32" s="284">
        <v>1264578.93</v>
      </c>
      <c r="D32" s="321">
        <v>0</v>
      </c>
      <c r="E32" s="308">
        <v>0</v>
      </c>
      <c r="F32" s="294">
        <v>0</v>
      </c>
      <c r="G32" s="295">
        <v>0</v>
      </c>
      <c r="H32" s="296">
        <v>0</v>
      </c>
      <c r="I32" s="322">
        <f>'ใบผ่านรายการ  2'!E17</f>
        <v>200000</v>
      </c>
      <c r="J32" s="311">
        <v>0</v>
      </c>
      <c r="K32" s="291">
        <f>C32+E32+G32+I32-D32-F32-H32-J32</f>
        <v>1464578.93</v>
      </c>
      <c r="L32" s="323">
        <v>0</v>
      </c>
    </row>
    <row r="33" spans="1:12" s="313" customFormat="1" ht="21">
      <c r="A33" s="302" t="s">
        <v>94</v>
      </c>
      <c r="B33" s="264">
        <v>121000</v>
      </c>
      <c r="C33" s="284">
        <v>12048610</v>
      </c>
      <c r="D33" s="321">
        <v>0</v>
      </c>
      <c r="E33" s="308">
        <v>0</v>
      </c>
      <c r="F33" s="309">
        <v>0</v>
      </c>
      <c r="G33" s="295">
        <v>0</v>
      </c>
      <c r="H33" s="296">
        <v>0</v>
      </c>
      <c r="I33" s="322">
        <f>'ใบผ่านรายการ  2'!E31</f>
        <v>0</v>
      </c>
      <c r="J33" s="311">
        <v>0</v>
      </c>
      <c r="K33" s="291">
        <f>C33+E33+G33+I33-D33-F33-H33-J33</f>
        <v>12048610</v>
      </c>
      <c r="L33" s="323">
        <v>0</v>
      </c>
    </row>
    <row r="34" spans="1:12" s="313" customFormat="1" ht="21">
      <c r="A34" s="302" t="s">
        <v>96</v>
      </c>
      <c r="B34" s="264">
        <v>221102</v>
      </c>
      <c r="C34" s="284" t="s">
        <v>405</v>
      </c>
      <c r="D34" s="306">
        <v>1851939</v>
      </c>
      <c r="E34" s="308">
        <v>0</v>
      </c>
      <c r="F34" s="309">
        <v>0</v>
      </c>
      <c r="G34" s="295">
        <v>0</v>
      </c>
      <c r="H34" s="296">
        <v>0</v>
      </c>
      <c r="I34" s="322">
        <v>0</v>
      </c>
      <c r="J34" s="311">
        <v>0</v>
      </c>
      <c r="K34" s="291">
        <v>0</v>
      </c>
      <c r="L34" s="298">
        <f>SUM(D34+F34+H34+J34)-(E34+G34+I34-K34)</f>
        <v>1851939</v>
      </c>
    </row>
    <row r="35" spans="1:12" s="313" customFormat="1" ht="21">
      <c r="A35" s="302" t="s">
        <v>115</v>
      </c>
      <c r="B35" s="264">
        <v>221202</v>
      </c>
      <c r="C35" s="284">
        <v>0</v>
      </c>
      <c r="D35" s="306">
        <v>6860945.88</v>
      </c>
      <c r="E35" s="308">
        <v>0</v>
      </c>
      <c r="F35" s="309">
        <v>0</v>
      </c>
      <c r="G35" s="295">
        <v>0</v>
      </c>
      <c r="H35" s="296">
        <f>'ใบผ่านรายการ 1 '!H15</f>
        <v>0</v>
      </c>
      <c r="I35" s="322">
        <v>0</v>
      </c>
      <c r="J35" s="311">
        <v>0</v>
      </c>
      <c r="K35" s="291">
        <v>0</v>
      </c>
      <c r="L35" s="298">
        <f>SUM(D35+F35+H35+J35)-(E35+G35+I35-K35)</f>
        <v>6860945.88</v>
      </c>
    </row>
    <row r="36" spans="1:12" s="313" customFormat="1" ht="21">
      <c r="A36" s="302" t="s">
        <v>146</v>
      </c>
      <c r="B36" s="264">
        <v>123003</v>
      </c>
      <c r="C36" s="284">
        <v>0</v>
      </c>
      <c r="D36" s="306">
        <v>0</v>
      </c>
      <c r="E36" s="308"/>
      <c r="F36" s="309">
        <v>0</v>
      </c>
      <c r="G36" s="295">
        <v>0</v>
      </c>
      <c r="H36" s="296"/>
      <c r="I36" s="322"/>
      <c r="J36" s="311"/>
      <c r="K36" s="291">
        <f>C36+E36+G36+I36-D36-F36-H36-J36</f>
        <v>0</v>
      </c>
      <c r="L36" s="298"/>
    </row>
    <row r="37" spans="1:16" ht="21" hidden="1">
      <c r="A37" s="302" t="s">
        <v>95</v>
      </c>
      <c r="B37" s="264"/>
      <c r="C37" s="284">
        <v>0</v>
      </c>
      <c r="D37" s="306">
        <v>0</v>
      </c>
      <c r="E37" s="305">
        <v>0</v>
      </c>
      <c r="F37" s="294">
        <v>0</v>
      </c>
      <c r="G37" s="295">
        <v>0</v>
      </c>
      <c r="H37" s="296">
        <v>0</v>
      </c>
      <c r="I37" s="322">
        <v>0</v>
      </c>
      <c r="J37" s="297">
        <v>0</v>
      </c>
      <c r="K37" s="291">
        <v>0</v>
      </c>
      <c r="L37" s="298">
        <f>SUM(D37+F37+H37+J37)-(E37+G37+I37-K37)</f>
        <v>0</v>
      </c>
      <c r="M37" s="269" t="s">
        <v>165</v>
      </c>
      <c r="N37" s="299">
        <f>K11+K13+K14+K16+K18+K20+K22+K24+K26+K32+K27+K28+K31</f>
        <v>37096863.58</v>
      </c>
      <c r="O37" s="269">
        <v>27141104.54</v>
      </c>
      <c r="P37" s="299">
        <f>O37-N37</f>
        <v>-9955759.04</v>
      </c>
    </row>
    <row r="38" spans="1:14" ht="21">
      <c r="A38" s="302" t="s">
        <v>81</v>
      </c>
      <c r="B38" s="264">
        <v>211000</v>
      </c>
      <c r="C38" s="284">
        <v>0</v>
      </c>
      <c r="D38" s="306">
        <v>5461418.85</v>
      </c>
      <c r="E38" s="305">
        <v>0</v>
      </c>
      <c r="F38" s="294">
        <v>0</v>
      </c>
      <c r="G38" s="295">
        <v>0</v>
      </c>
      <c r="H38" s="296">
        <v>0</v>
      </c>
      <c r="I38" s="322">
        <f>'ใบผ่านรายการ  2'!E28</f>
        <v>0</v>
      </c>
      <c r="J38" s="297">
        <v>0</v>
      </c>
      <c r="K38" s="291">
        <v>0</v>
      </c>
      <c r="L38" s="298">
        <f>SUM(D38+F38+H38+J38)-(E38+G38+I38-K38)</f>
        <v>5461418.85</v>
      </c>
      <c r="M38" s="269" t="s">
        <v>166</v>
      </c>
      <c r="N38" s="299" t="e">
        <f>#REF!+K15+K17+K19+K21+K23+K25+K29+K30</f>
        <v>#REF!</v>
      </c>
    </row>
    <row r="39" spans="1:14" ht="21">
      <c r="A39" s="330" t="s">
        <v>314</v>
      </c>
      <c r="B39" s="331">
        <v>211000</v>
      </c>
      <c r="C39" s="284"/>
      <c r="D39" s="306">
        <v>0</v>
      </c>
      <c r="E39" s="332"/>
      <c r="F39" s="333"/>
      <c r="G39" s="295">
        <v>0</v>
      </c>
      <c r="H39" s="334"/>
      <c r="I39" s="335">
        <f>'ใบผ่านรายการ  2'!E27</f>
        <v>0</v>
      </c>
      <c r="J39" s="336"/>
      <c r="K39" s="337"/>
      <c r="L39" s="298">
        <f>SUM(D39+F39+H39+J39)-(E39+G39+I39-K39)</f>
        <v>0</v>
      </c>
      <c r="M39" s="269"/>
      <c r="N39" s="299"/>
    </row>
    <row r="40" spans="1:14" ht="21">
      <c r="A40" s="330" t="s">
        <v>315</v>
      </c>
      <c r="B40" s="338">
        <v>211000</v>
      </c>
      <c r="C40" s="284">
        <v>0</v>
      </c>
      <c r="D40" s="339">
        <v>0</v>
      </c>
      <c r="E40" s="332">
        <v>0</v>
      </c>
      <c r="F40" s="333">
        <v>0</v>
      </c>
      <c r="G40" s="295">
        <v>0</v>
      </c>
      <c r="H40" s="334">
        <v>0</v>
      </c>
      <c r="I40" s="340">
        <f>'ใบผ่านรายการ  2'!E29</f>
        <v>0</v>
      </c>
      <c r="J40" s="336">
        <v>0</v>
      </c>
      <c r="K40" s="341"/>
      <c r="L40" s="342">
        <f>D40+F40+H40+J40-C40-E40-G40-I40</f>
        <v>0</v>
      </c>
      <c r="M40" s="343">
        <f>SUM(L38:L40)</f>
        <v>5461418.85</v>
      </c>
      <c r="N40" s="269"/>
    </row>
    <row r="41" spans="1:14" ht="21">
      <c r="A41" s="302" t="s">
        <v>7</v>
      </c>
      <c r="B41" s="344">
        <v>310000</v>
      </c>
      <c r="C41" s="284">
        <v>0</v>
      </c>
      <c r="D41" s="284">
        <v>21444057.76</v>
      </c>
      <c r="E41" s="305">
        <v>0</v>
      </c>
      <c r="F41" s="294">
        <v>0</v>
      </c>
      <c r="G41" s="295">
        <v>0</v>
      </c>
      <c r="H41" s="296">
        <f>'ใบผ่านรายการ 1 '!H33</f>
        <v>0</v>
      </c>
      <c r="I41" s="322">
        <f>'ใบผ่านรายการ  2'!E30</f>
        <v>591000</v>
      </c>
      <c r="J41" s="297">
        <v>0</v>
      </c>
      <c r="K41" s="345">
        <v>0</v>
      </c>
      <c r="L41" s="298">
        <f>D41+F41+H41+J41-C41-E41-G41-I41-K41</f>
        <v>20853057.76</v>
      </c>
      <c r="M41" s="269"/>
      <c r="N41" s="299" t="e">
        <f>SUM(N37:N38)</f>
        <v>#REF!</v>
      </c>
    </row>
    <row r="42" spans="1:14" ht="21">
      <c r="A42" s="302" t="s">
        <v>40</v>
      </c>
      <c r="B42" s="264">
        <v>320000</v>
      </c>
      <c r="C42" s="284">
        <v>0</v>
      </c>
      <c r="D42" s="306">
        <v>10125619.53</v>
      </c>
      <c r="E42" s="305">
        <v>0</v>
      </c>
      <c r="F42" s="294">
        <v>0</v>
      </c>
      <c r="G42" s="295">
        <v>0</v>
      </c>
      <c r="H42" s="296">
        <v>0</v>
      </c>
      <c r="I42" s="322">
        <v>0</v>
      </c>
      <c r="J42" s="297">
        <v>0</v>
      </c>
      <c r="K42" s="291">
        <v>0</v>
      </c>
      <c r="L42" s="298">
        <f>SUM(D42+F42+H42+K42)-(E42+G42+I42)</f>
        <v>10125619.53</v>
      </c>
      <c r="M42" s="269"/>
      <c r="N42" s="269"/>
    </row>
    <row r="43" spans="1:14" ht="21">
      <c r="A43" s="330" t="s">
        <v>360</v>
      </c>
      <c r="B43" s="346">
        <v>113100</v>
      </c>
      <c r="C43" s="347">
        <v>3500</v>
      </c>
      <c r="D43" s="348">
        <v>0</v>
      </c>
      <c r="E43" s="332">
        <v>0</v>
      </c>
      <c r="F43" s="333">
        <f>ใบผ่านทั่วไป!G8+ใบผ่านทั่วไป!G133</f>
        <v>528700</v>
      </c>
      <c r="G43" s="295">
        <v>0</v>
      </c>
      <c r="H43" s="334">
        <f>'ใบผ่านรายการ 1 '!H32+'ใบผ่านรายการ 1 '!H34</f>
        <v>29500</v>
      </c>
      <c r="I43" s="340">
        <f>'ใบผ่านรายการ  2'!E24</f>
        <v>558200</v>
      </c>
      <c r="J43" s="336">
        <v>0</v>
      </c>
      <c r="K43" s="349">
        <f>C43+E43+G43+I43-D43-F43-H43-J43</f>
        <v>3500</v>
      </c>
      <c r="L43" s="342">
        <v>0</v>
      </c>
      <c r="M43" s="269"/>
      <c r="N43" s="269"/>
    </row>
    <row r="44" spans="1:14" ht="21">
      <c r="A44" s="302" t="s">
        <v>36</v>
      </c>
      <c r="B44" s="264">
        <v>113700</v>
      </c>
      <c r="C44" s="306">
        <v>0</v>
      </c>
      <c r="D44" s="306">
        <v>0</v>
      </c>
      <c r="E44" s="305">
        <v>0</v>
      </c>
      <c r="F44" s="294">
        <v>0</v>
      </c>
      <c r="G44" s="295">
        <v>0</v>
      </c>
      <c r="H44" s="296">
        <v>0</v>
      </c>
      <c r="I44" s="307">
        <f>'ใบผ่านรายการ  2'!E25</f>
        <v>0</v>
      </c>
      <c r="J44" s="297">
        <v>0</v>
      </c>
      <c r="K44" s="291">
        <f>C44-D44+E44-F44+G44-H44+I44-J44</f>
        <v>0</v>
      </c>
      <c r="L44" s="298">
        <v>0</v>
      </c>
      <c r="M44" s="269"/>
      <c r="N44" s="269"/>
    </row>
    <row r="45" spans="1:14" ht="21">
      <c r="A45" s="302" t="s">
        <v>330</v>
      </c>
      <c r="B45" s="264">
        <v>113800</v>
      </c>
      <c r="C45" s="284">
        <v>0</v>
      </c>
      <c r="D45" s="306">
        <v>0</v>
      </c>
      <c r="E45" s="305">
        <v>0</v>
      </c>
      <c r="F45" s="294">
        <v>0</v>
      </c>
      <c r="G45" s="295">
        <v>0</v>
      </c>
      <c r="H45" s="296">
        <v>0</v>
      </c>
      <c r="I45" s="307">
        <f>'ใบผ่านรายการ  2'!E26</f>
        <v>0</v>
      </c>
      <c r="J45" s="297">
        <v>0</v>
      </c>
      <c r="K45" s="291">
        <f>C45-D45+E45-F45+G45-H45+I45-J45</f>
        <v>0</v>
      </c>
      <c r="L45" s="298">
        <v>0</v>
      </c>
      <c r="M45" s="269"/>
      <c r="N45" s="269"/>
    </row>
    <row r="46" spans="1:14" ht="21">
      <c r="A46" s="302" t="s">
        <v>233</v>
      </c>
      <c r="B46" s="264">
        <v>113600</v>
      </c>
      <c r="C46" s="284">
        <v>0</v>
      </c>
      <c r="D46" s="306"/>
      <c r="E46" s="305">
        <v>0</v>
      </c>
      <c r="F46" s="294">
        <v>0</v>
      </c>
      <c r="G46" s="295">
        <v>0</v>
      </c>
      <c r="H46" s="296"/>
      <c r="I46" s="307"/>
      <c r="J46" s="297"/>
      <c r="K46" s="291">
        <v>0</v>
      </c>
      <c r="L46" s="298"/>
      <c r="M46" s="269"/>
      <c r="N46" s="269"/>
    </row>
    <row r="47" spans="1:14" ht="21">
      <c r="A47" s="302" t="s">
        <v>309</v>
      </c>
      <c r="B47" s="264">
        <v>113600</v>
      </c>
      <c r="C47" s="284">
        <v>0</v>
      </c>
      <c r="D47" s="306"/>
      <c r="E47" s="305">
        <v>0</v>
      </c>
      <c r="F47" s="294"/>
      <c r="G47" s="295">
        <v>0</v>
      </c>
      <c r="H47" s="296">
        <v>0</v>
      </c>
      <c r="I47" s="307"/>
      <c r="J47" s="297"/>
      <c r="K47" s="291">
        <f>C47+E47+G47+I47-D47-F47-H47-J47</f>
        <v>0</v>
      </c>
      <c r="L47" s="298"/>
      <c r="M47" s="269"/>
      <c r="N47" s="269"/>
    </row>
    <row r="48" spans="1:14" ht="21">
      <c r="A48" s="302" t="s">
        <v>146</v>
      </c>
      <c r="B48" s="264">
        <v>112300</v>
      </c>
      <c r="C48" s="284">
        <v>0</v>
      </c>
      <c r="D48" s="306"/>
      <c r="E48" s="305">
        <v>0</v>
      </c>
      <c r="F48" s="294"/>
      <c r="G48" s="295">
        <v>0</v>
      </c>
      <c r="H48" s="296">
        <v>0</v>
      </c>
      <c r="I48" s="307"/>
      <c r="J48" s="297"/>
      <c r="K48" s="291">
        <f>C48+E48+G48+I48-D48-F48-H48-J48</f>
        <v>0</v>
      </c>
      <c r="L48" s="298"/>
      <c r="M48" s="269"/>
      <c r="N48" s="269"/>
    </row>
    <row r="49" spans="1:14" ht="21">
      <c r="A49" s="302" t="s">
        <v>41</v>
      </c>
      <c r="B49" s="264">
        <v>400000</v>
      </c>
      <c r="C49" s="284">
        <v>0</v>
      </c>
      <c r="D49" s="306">
        <v>42439007.01</v>
      </c>
      <c r="E49" s="305">
        <v>0</v>
      </c>
      <c r="F49" s="294">
        <v>0</v>
      </c>
      <c r="G49" s="295">
        <v>0</v>
      </c>
      <c r="H49" s="296">
        <f>'ใบผ่านรายการ 1 '!H13</f>
        <v>2245709.83</v>
      </c>
      <c r="I49" s="307">
        <f>'ใบผ่านรายการ  2'!E48</f>
        <v>0</v>
      </c>
      <c r="J49" s="297">
        <f>'ใบผ่านรายการ  2'!F48</f>
        <v>0</v>
      </c>
      <c r="K49" s="291">
        <v>0</v>
      </c>
      <c r="L49" s="298">
        <f>D49+F49+H49+J49-C49-E49-G49-I49</f>
        <v>44684716.839999996</v>
      </c>
      <c r="M49" s="269"/>
      <c r="N49" s="269"/>
    </row>
    <row r="50" spans="1:12" s="354" customFormat="1" ht="21">
      <c r="A50" s="302" t="s">
        <v>42</v>
      </c>
      <c r="B50" s="264">
        <v>215000</v>
      </c>
      <c r="C50" s="350">
        <v>0</v>
      </c>
      <c r="D50" s="351">
        <v>279350.05</v>
      </c>
      <c r="E50" s="305">
        <f>ใบผ่านทั่วไป!F91</f>
        <v>188.1</v>
      </c>
      <c r="F50" s="294">
        <v>0</v>
      </c>
      <c r="G50" s="295">
        <v>0</v>
      </c>
      <c r="H50" s="296">
        <f>'ใบผ่านรายการ 1 '!I20</f>
        <v>55940.49</v>
      </c>
      <c r="I50" s="352">
        <f>'ใบผ่านรายการ  2'!G46</f>
        <v>23052.5</v>
      </c>
      <c r="J50" s="353">
        <f>'ใบผ่านรายการ  2'!H46</f>
        <v>25738.89</v>
      </c>
      <c r="K50" s="291">
        <v>0</v>
      </c>
      <c r="L50" s="298">
        <f>D50+F50+H50+J50-C50-E50-G50-I50</f>
        <v>337788.83</v>
      </c>
    </row>
    <row r="51" spans="1:12" s="354" customFormat="1" ht="21">
      <c r="A51" s="330" t="s">
        <v>312</v>
      </c>
      <c r="B51" s="355">
        <v>140300</v>
      </c>
      <c r="C51" s="356">
        <v>50</v>
      </c>
      <c r="D51" s="351">
        <v>0</v>
      </c>
      <c r="E51" s="305">
        <v>0</v>
      </c>
      <c r="F51" s="294">
        <v>0</v>
      </c>
      <c r="G51" s="295">
        <v>0</v>
      </c>
      <c r="H51" s="296">
        <v>0</v>
      </c>
      <c r="I51" s="352">
        <v>0</v>
      </c>
      <c r="J51" s="353">
        <v>0</v>
      </c>
      <c r="K51" s="357">
        <f>C51+E51+G51+I51-D51-F51-H51-J51</f>
        <v>50</v>
      </c>
      <c r="L51" s="298">
        <v>0</v>
      </c>
    </row>
    <row r="52" spans="1:12" s="354" customFormat="1" ht="21">
      <c r="A52" s="358" t="s">
        <v>313</v>
      </c>
      <c r="B52" s="359">
        <v>240100</v>
      </c>
      <c r="C52" s="360"/>
      <c r="D52" s="361">
        <v>50</v>
      </c>
      <c r="E52" s="362">
        <v>0</v>
      </c>
      <c r="F52" s="294">
        <v>0</v>
      </c>
      <c r="G52" s="295">
        <v>0</v>
      </c>
      <c r="H52" s="363"/>
      <c r="I52" s="364"/>
      <c r="J52" s="365"/>
      <c r="K52" s="366"/>
      <c r="L52" s="367">
        <f>D52+F52+H52+J52-C52-E52-G52-I52</f>
        <v>50</v>
      </c>
    </row>
    <row r="53" spans="1:14" ht="21.75" thickBot="1">
      <c r="A53" s="368"/>
      <c r="B53" s="91"/>
      <c r="C53" s="369">
        <f>SUM(C3:C52)</f>
        <v>88462388.08</v>
      </c>
      <c r="D53" s="369">
        <f>SUM(D34:D52)</f>
        <v>88462388.08</v>
      </c>
      <c r="E53" s="369">
        <f aca="true" t="shared" si="1" ref="E53:L53">SUM(E3:E52)</f>
        <v>5586238.8</v>
      </c>
      <c r="F53" s="369">
        <f t="shared" si="1"/>
        <v>5586238.8</v>
      </c>
      <c r="G53" s="369">
        <f t="shared" si="1"/>
        <v>2400194.3200000003</v>
      </c>
      <c r="H53" s="369">
        <f t="shared" si="1"/>
        <v>2400194.3200000003</v>
      </c>
      <c r="I53" s="369">
        <f t="shared" si="1"/>
        <v>4979379.65</v>
      </c>
      <c r="J53" s="369">
        <f t="shared" si="1"/>
        <v>4979379.649999999</v>
      </c>
      <c r="K53" s="369">
        <f t="shared" si="1"/>
        <v>90175536.69000003</v>
      </c>
      <c r="L53" s="369">
        <f t="shared" si="1"/>
        <v>90175536.69</v>
      </c>
      <c r="M53" s="269"/>
      <c r="N53" s="269"/>
    </row>
    <row r="54" spans="1:11" ht="21.75" thickTop="1">
      <c r="A54" s="370"/>
      <c r="B54" s="371"/>
      <c r="C54" s="372">
        <f>C53-D53</f>
        <v>0</v>
      </c>
      <c r="D54" s="373"/>
      <c r="E54" s="374">
        <f>E53-F53</f>
        <v>0</v>
      </c>
      <c r="G54" s="376">
        <f>G53-H53</f>
        <v>0</v>
      </c>
      <c r="I54" s="378">
        <f>I53-J53</f>
        <v>0</v>
      </c>
      <c r="K54" s="380">
        <f>K53-L53</f>
        <v>0</v>
      </c>
    </row>
    <row r="55" spans="1:5" ht="21">
      <c r="A55" s="382"/>
      <c r="B55" s="382"/>
      <c r="C55" s="383"/>
      <c r="D55" s="384"/>
      <c r="E55" s="385"/>
    </row>
    <row r="56" spans="2:3" ht="21">
      <c r="B56" s="803"/>
      <c r="C56" s="803"/>
    </row>
    <row r="57" ht="21">
      <c r="B57" s="388"/>
    </row>
    <row r="58" spans="1:5" ht="21">
      <c r="A58" s="355"/>
      <c r="B58" s="802"/>
      <c r="C58" s="802"/>
      <c r="D58" s="390"/>
      <c r="E58" s="391"/>
    </row>
    <row r="59" spans="2:3" ht="21">
      <c r="B59" s="802"/>
      <c r="C59" s="802"/>
    </row>
  </sheetData>
  <sheetProtection/>
  <mergeCells count="4">
    <mergeCell ref="A1:L1"/>
    <mergeCell ref="B56:C56"/>
    <mergeCell ref="B58:C58"/>
    <mergeCell ref="B59:C5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K54"/>
  <sheetViews>
    <sheetView view="pageBreakPreview" zoomScaleSheetLayoutView="100" zoomScalePageLayoutView="0" workbookViewId="0" topLeftCell="A31">
      <selection activeCell="F32" sqref="F32"/>
    </sheetView>
  </sheetViews>
  <sheetFormatPr defaultColWidth="9.140625" defaultRowHeight="21.75"/>
  <cols>
    <col min="1" max="1" width="24.7109375" style="1" customWidth="1"/>
    <col min="2" max="2" width="22.57421875" style="1" customWidth="1"/>
    <col min="3" max="3" width="14.28125" style="1" customWidth="1"/>
    <col min="4" max="4" width="19.7109375" style="138" customWidth="1"/>
    <col min="5" max="6" width="18.57421875" style="2" customWidth="1"/>
    <col min="7" max="7" width="16.140625" style="1" customWidth="1"/>
    <col min="8" max="8" width="19.8515625" style="1" customWidth="1"/>
    <col min="9" max="9" width="14.00390625" style="1" customWidth="1"/>
    <col min="10" max="10" width="9.140625" style="1" customWidth="1"/>
    <col min="11" max="11" width="13.28125" style="1" customWidth="1"/>
    <col min="12" max="16384" width="9.140625" style="1" customWidth="1"/>
  </cols>
  <sheetData>
    <row r="1" ht="18.75" customHeight="1">
      <c r="F1" s="173" t="str">
        <f>'ใบผ่านรายการ 1 '!H1</f>
        <v> เลขที่     /2560</v>
      </c>
    </row>
    <row r="2" spans="1:9" ht="18.75" customHeight="1">
      <c r="A2" s="746"/>
      <c r="B2" s="768"/>
      <c r="C2" s="768"/>
      <c r="D2" s="746" t="s">
        <v>722</v>
      </c>
      <c r="E2" s="746"/>
      <c r="F2" s="746"/>
      <c r="G2" s="174"/>
      <c r="H2" s="174"/>
      <c r="I2" s="174"/>
    </row>
    <row r="3" spans="1:6" ht="18.75" customHeight="1">
      <c r="A3" s="744" t="s">
        <v>123</v>
      </c>
      <c r="B3" s="745"/>
      <c r="C3" s="745"/>
      <c r="D3" s="745"/>
      <c r="E3" s="745"/>
      <c r="F3" s="745"/>
    </row>
    <row r="4" spans="1:3" ht="18.75" customHeight="1" thickBot="1">
      <c r="A4" s="174" t="s">
        <v>379</v>
      </c>
      <c r="B4" s="174"/>
      <c r="C4" s="174"/>
    </row>
    <row r="5" spans="1:6" ht="18.75" customHeight="1" thickBot="1">
      <c r="A5" s="769" t="s">
        <v>52</v>
      </c>
      <c r="B5" s="770"/>
      <c r="C5" s="770"/>
      <c r="D5" s="175" t="s">
        <v>47</v>
      </c>
      <c r="E5" s="176" t="s">
        <v>9</v>
      </c>
      <c r="F5" s="176" t="s">
        <v>10</v>
      </c>
    </row>
    <row r="6" spans="1:8" ht="18.75" customHeight="1">
      <c r="A6" s="177" t="s">
        <v>45</v>
      </c>
      <c r="B6" s="178"/>
      <c r="C6" s="178"/>
      <c r="D6" s="179">
        <v>511000</v>
      </c>
      <c r="E6" s="180">
        <v>249327</v>
      </c>
      <c r="F6" s="181"/>
      <c r="H6" s="171"/>
    </row>
    <row r="7" spans="1:8" ht="18.75" customHeight="1">
      <c r="A7" s="177" t="s">
        <v>45</v>
      </c>
      <c r="B7" s="178" t="s">
        <v>602</v>
      </c>
      <c r="C7" s="178"/>
      <c r="D7" s="711">
        <v>511000</v>
      </c>
      <c r="E7" s="183">
        <v>0</v>
      </c>
      <c r="F7" s="181"/>
      <c r="H7" s="171"/>
    </row>
    <row r="8" spans="1:9" ht="18.75" customHeight="1">
      <c r="A8" s="177" t="s">
        <v>186</v>
      </c>
      <c r="B8" s="178"/>
      <c r="C8" s="178"/>
      <c r="D8" s="182">
        <v>521000</v>
      </c>
      <c r="E8" s="183">
        <v>218720</v>
      </c>
      <c r="F8" s="181"/>
      <c r="H8" s="171"/>
      <c r="I8" s="184"/>
    </row>
    <row r="9" spans="1:8" ht="18.75" customHeight="1">
      <c r="A9" s="185" t="s">
        <v>187</v>
      </c>
      <c r="B9" s="186"/>
      <c r="C9" s="186"/>
      <c r="D9" s="187">
        <v>522000</v>
      </c>
      <c r="E9" s="183">
        <v>1033715</v>
      </c>
      <c r="F9" s="188"/>
      <c r="H9" s="171"/>
    </row>
    <row r="10" spans="1:8" ht="18.75" customHeight="1">
      <c r="A10" s="185" t="s">
        <v>188</v>
      </c>
      <c r="B10" s="186"/>
      <c r="C10" s="186"/>
      <c r="D10" s="187">
        <v>522000</v>
      </c>
      <c r="E10" s="183">
        <v>76480</v>
      </c>
      <c r="F10" s="188"/>
      <c r="H10" s="171">
        <f>E9+E10+E11</f>
        <v>1434600</v>
      </c>
    </row>
    <row r="11" spans="1:8" ht="18.75" customHeight="1">
      <c r="A11" s="185" t="s">
        <v>189</v>
      </c>
      <c r="B11" s="186"/>
      <c r="C11" s="186"/>
      <c r="D11" s="187">
        <v>522000</v>
      </c>
      <c r="E11" s="183">
        <v>324405</v>
      </c>
      <c r="F11" s="188"/>
      <c r="H11" s="171"/>
    </row>
    <row r="12" spans="1:8" ht="18.75" customHeight="1">
      <c r="A12" s="185" t="s">
        <v>0</v>
      </c>
      <c r="B12" s="186"/>
      <c r="C12" s="186"/>
      <c r="D12" s="187">
        <v>531000</v>
      </c>
      <c r="E12" s="183">
        <v>46950</v>
      </c>
      <c r="F12" s="188"/>
      <c r="H12" s="171"/>
    </row>
    <row r="13" spans="1:8" ht="18.75" customHeight="1">
      <c r="A13" s="185" t="s">
        <v>0</v>
      </c>
      <c r="B13" s="186" t="s">
        <v>602</v>
      </c>
      <c r="C13" s="186"/>
      <c r="D13" s="187">
        <v>531000</v>
      </c>
      <c r="E13" s="183">
        <v>14500</v>
      </c>
      <c r="F13" s="188"/>
      <c r="H13" s="171"/>
    </row>
    <row r="14" spans="1:8" ht="18.75" customHeight="1">
      <c r="A14" s="185" t="s">
        <v>1</v>
      </c>
      <c r="B14" s="186"/>
      <c r="C14" s="186"/>
      <c r="D14" s="187">
        <v>532000</v>
      </c>
      <c r="E14" s="183">
        <v>1322732.17</v>
      </c>
      <c r="F14" s="188">
        <v>0</v>
      </c>
      <c r="H14" s="171"/>
    </row>
    <row r="15" spans="1:8" ht="18.75" customHeight="1">
      <c r="A15" s="185" t="s">
        <v>2</v>
      </c>
      <c r="B15" s="186"/>
      <c r="C15" s="186"/>
      <c r="D15" s="187">
        <v>533000</v>
      </c>
      <c r="E15" s="183">
        <v>264157.04</v>
      </c>
      <c r="F15" s="188"/>
      <c r="H15" s="171">
        <f>SUM(E15:E15)</f>
        <v>264157.04</v>
      </c>
    </row>
    <row r="16" spans="1:8" ht="18.75" customHeight="1">
      <c r="A16" s="185" t="s">
        <v>3</v>
      </c>
      <c r="B16" s="186"/>
      <c r="C16" s="186"/>
      <c r="D16" s="187">
        <v>534000</v>
      </c>
      <c r="E16" s="183">
        <v>56140.94</v>
      </c>
      <c r="F16" s="188"/>
      <c r="H16" s="171"/>
    </row>
    <row r="17" spans="1:8" ht="18.75" customHeight="1">
      <c r="A17" s="185" t="s">
        <v>4</v>
      </c>
      <c r="B17" s="186"/>
      <c r="C17" s="186"/>
      <c r="D17" s="187">
        <v>561000</v>
      </c>
      <c r="E17" s="183">
        <v>200000</v>
      </c>
      <c r="F17" s="188"/>
      <c r="H17" s="171">
        <f>SUM(E6:E17)</f>
        <v>3807127.15</v>
      </c>
    </row>
    <row r="18" spans="1:8" ht="18.75" customHeight="1">
      <c r="A18" s="185" t="s">
        <v>80</v>
      </c>
      <c r="B18" s="186"/>
      <c r="C18" s="186"/>
      <c r="D18" s="187">
        <v>541000</v>
      </c>
      <c r="E18" s="581">
        <v>0</v>
      </c>
      <c r="F18" s="582"/>
      <c r="H18" s="171" t="s">
        <v>601</v>
      </c>
    </row>
    <row r="19" spans="1:8" ht="18.75" customHeight="1">
      <c r="A19" s="185" t="s">
        <v>5</v>
      </c>
      <c r="B19" s="186"/>
      <c r="C19" s="186"/>
      <c r="D19" s="187">
        <v>542000</v>
      </c>
      <c r="E19" s="581">
        <v>0</v>
      </c>
      <c r="F19" s="582"/>
      <c r="G19" s="184"/>
      <c r="H19" s="171">
        <f>SUM(E19:E21)</f>
        <v>0</v>
      </c>
    </row>
    <row r="20" spans="1:8" ht="18.75" customHeight="1">
      <c r="A20" s="189" t="s">
        <v>305</v>
      </c>
      <c r="B20" s="186"/>
      <c r="C20" s="186"/>
      <c r="D20" s="187">
        <v>542000</v>
      </c>
      <c r="E20" s="581">
        <v>0</v>
      </c>
      <c r="F20" s="582"/>
      <c r="H20" s="171"/>
    </row>
    <row r="21" spans="1:8" ht="18.75" customHeight="1">
      <c r="A21" s="189" t="s">
        <v>231</v>
      </c>
      <c r="B21" s="190"/>
      <c r="C21" s="190"/>
      <c r="D21" s="187">
        <v>542000</v>
      </c>
      <c r="E21" s="581">
        <v>0</v>
      </c>
      <c r="F21" s="582"/>
      <c r="H21" s="171"/>
    </row>
    <row r="22" spans="1:6" ht="18.75" customHeight="1">
      <c r="A22" s="185" t="s">
        <v>39</v>
      </c>
      <c r="B22" s="186"/>
      <c r="C22" s="186"/>
      <c r="D22" s="191">
        <v>551000</v>
      </c>
      <c r="E22" s="581">
        <v>0</v>
      </c>
      <c r="F22" s="582"/>
    </row>
    <row r="23" spans="1:6" ht="18.75" customHeight="1">
      <c r="A23" s="185" t="s">
        <v>146</v>
      </c>
      <c r="B23" s="186"/>
      <c r="C23" s="186"/>
      <c r="D23" s="192">
        <v>123003</v>
      </c>
      <c r="E23" s="581">
        <v>0</v>
      </c>
      <c r="F23" s="582"/>
    </row>
    <row r="24" spans="1:6" ht="18.75" customHeight="1">
      <c r="A24" s="185" t="s">
        <v>360</v>
      </c>
      <c r="B24" s="186"/>
      <c r="C24" s="186"/>
      <c r="D24" s="191">
        <v>113100</v>
      </c>
      <c r="E24" s="581">
        <v>558200</v>
      </c>
      <c r="F24" s="582"/>
    </row>
    <row r="25" spans="1:6" ht="18.75" customHeight="1">
      <c r="A25" s="185" t="s">
        <v>36</v>
      </c>
      <c r="B25" s="186"/>
      <c r="C25" s="186"/>
      <c r="D25" s="191">
        <v>113700</v>
      </c>
      <c r="E25" s="581">
        <v>0</v>
      </c>
      <c r="F25" s="582"/>
    </row>
    <row r="26" spans="1:6" ht="18.75" customHeight="1">
      <c r="A26" s="185" t="s">
        <v>330</v>
      </c>
      <c r="B26" s="186"/>
      <c r="C26" s="186"/>
      <c r="D26" s="191">
        <v>113800</v>
      </c>
      <c r="E26" s="581">
        <v>0</v>
      </c>
      <c r="F26" s="582"/>
    </row>
    <row r="27" spans="1:6" ht="18.75" customHeight="1">
      <c r="A27" s="765" t="s">
        <v>369</v>
      </c>
      <c r="B27" s="766"/>
      <c r="C27" s="186"/>
      <c r="D27" s="191">
        <v>211000</v>
      </c>
      <c r="E27" s="581">
        <v>0</v>
      </c>
      <c r="F27" s="582"/>
    </row>
    <row r="28" spans="1:6" ht="18.75" customHeight="1">
      <c r="A28" s="765" t="s">
        <v>81</v>
      </c>
      <c r="B28" s="766"/>
      <c r="C28" s="767"/>
      <c r="D28" s="191">
        <v>211000</v>
      </c>
      <c r="E28" s="581">
        <v>0</v>
      </c>
      <c r="F28" s="582"/>
    </row>
    <row r="29" spans="1:6" ht="18.75" customHeight="1">
      <c r="A29" s="765" t="s">
        <v>315</v>
      </c>
      <c r="B29" s="766"/>
      <c r="C29" s="767"/>
      <c r="D29" s="191">
        <v>211000</v>
      </c>
      <c r="E29" s="581">
        <v>0</v>
      </c>
      <c r="F29" s="582"/>
    </row>
    <row r="30" spans="1:6" ht="18.75" customHeight="1">
      <c r="A30" s="185" t="s">
        <v>7</v>
      </c>
      <c r="B30" s="186"/>
      <c r="C30" s="186"/>
      <c r="D30" s="191">
        <v>310000</v>
      </c>
      <c r="E30" s="581">
        <v>591000</v>
      </c>
      <c r="F30" s="582"/>
    </row>
    <row r="31" spans="1:6" ht="18.75" customHeight="1">
      <c r="A31" s="185" t="s">
        <v>94</v>
      </c>
      <c r="B31" s="186"/>
      <c r="C31" s="186"/>
      <c r="D31" s="193">
        <v>121000</v>
      </c>
      <c r="E31" s="581">
        <v>0</v>
      </c>
      <c r="F31" s="582"/>
    </row>
    <row r="32" spans="1:9" ht="18.75" customHeight="1">
      <c r="A32" s="194" t="s">
        <v>72</v>
      </c>
      <c r="B32" s="195"/>
      <c r="C32" s="195"/>
      <c r="D32" s="198">
        <v>215001</v>
      </c>
      <c r="E32" s="581">
        <v>7482.5</v>
      </c>
      <c r="F32" s="583">
        <v>10168.89</v>
      </c>
      <c r="G32" s="1" t="s">
        <v>136</v>
      </c>
      <c r="H32" s="174" t="s">
        <v>137</v>
      </c>
      <c r="I32" s="184"/>
    </row>
    <row r="33" spans="1:11" ht="18.75" customHeight="1">
      <c r="A33" s="200" t="s">
        <v>226</v>
      </c>
      <c r="B33" s="195"/>
      <c r="C33" s="195"/>
      <c r="D33" s="196" t="s">
        <v>238</v>
      </c>
      <c r="E33" s="581">
        <v>0</v>
      </c>
      <c r="F33" s="583">
        <v>0</v>
      </c>
      <c r="G33" s="142"/>
      <c r="H33" s="199"/>
      <c r="J33" s="174"/>
      <c r="K33" s="184"/>
    </row>
    <row r="34" spans="1:8" ht="18.75" customHeight="1">
      <c r="A34" s="194" t="s">
        <v>326</v>
      </c>
      <c r="B34" s="195"/>
      <c r="C34" s="195"/>
      <c r="D34" s="198">
        <v>215008</v>
      </c>
      <c r="E34" s="581">
        <v>0</v>
      </c>
      <c r="F34" s="583">
        <v>0</v>
      </c>
      <c r="G34" s="201"/>
      <c r="H34" s="199"/>
    </row>
    <row r="35" spans="1:8" ht="18.75" customHeight="1">
      <c r="A35" s="194" t="s">
        <v>325</v>
      </c>
      <c r="B35" s="195"/>
      <c r="C35" s="195"/>
      <c r="D35" s="198">
        <v>215009</v>
      </c>
      <c r="E35" s="581">
        <v>0</v>
      </c>
      <c r="F35" s="583">
        <v>0</v>
      </c>
      <c r="G35" s="201"/>
      <c r="H35" s="199"/>
    </row>
    <row r="36" spans="1:8" ht="18.75" customHeight="1">
      <c r="A36" s="194" t="s">
        <v>173</v>
      </c>
      <c r="B36" s="195"/>
      <c r="C36" s="195"/>
      <c r="D36" s="198">
        <v>215013</v>
      </c>
      <c r="E36" s="581">
        <v>15570</v>
      </c>
      <c r="F36" s="583">
        <v>15570</v>
      </c>
      <c r="G36" s="201"/>
      <c r="H36" s="199"/>
    </row>
    <row r="37" spans="1:11" ht="18.75" customHeight="1">
      <c r="A37" s="200" t="s">
        <v>311</v>
      </c>
      <c r="B37" s="195"/>
      <c r="C37" s="195"/>
      <c r="D37" s="187">
        <v>215014</v>
      </c>
      <c r="E37" s="581">
        <v>0</v>
      </c>
      <c r="F37" s="583">
        <v>0</v>
      </c>
      <c r="G37" s="142"/>
      <c r="H37" s="199"/>
      <c r="J37" s="174"/>
      <c r="K37" s="184"/>
    </row>
    <row r="38" spans="1:8" ht="18.75" customHeight="1">
      <c r="A38" s="194" t="s">
        <v>365</v>
      </c>
      <c r="B38" s="195"/>
      <c r="C38" s="195"/>
      <c r="D38" s="202">
        <v>215999</v>
      </c>
      <c r="E38" s="581">
        <v>0</v>
      </c>
      <c r="F38" s="583">
        <v>0</v>
      </c>
      <c r="G38" s="201"/>
      <c r="H38" s="199"/>
    </row>
    <row r="39" spans="1:11" ht="18.75" customHeight="1">
      <c r="A39" s="200" t="s">
        <v>406</v>
      </c>
      <c r="B39" s="195"/>
      <c r="C39" s="195"/>
      <c r="D39" s="187">
        <v>215999</v>
      </c>
      <c r="E39" s="581">
        <v>0</v>
      </c>
      <c r="F39" s="583"/>
      <c r="G39" s="142"/>
      <c r="H39" s="199"/>
      <c r="J39" s="174"/>
      <c r="K39" s="184"/>
    </row>
    <row r="40" spans="1:11" ht="18.75" customHeight="1">
      <c r="A40" s="200" t="s">
        <v>229</v>
      </c>
      <c r="B40" s="195"/>
      <c r="C40" s="195"/>
      <c r="D40" s="187">
        <v>215999</v>
      </c>
      <c r="E40" s="581">
        <v>0</v>
      </c>
      <c r="F40" s="583"/>
      <c r="G40" s="142"/>
      <c r="H40" s="199"/>
      <c r="J40" s="174"/>
      <c r="K40" s="184"/>
    </row>
    <row r="41" spans="1:11" ht="18.75" customHeight="1">
      <c r="A41" s="203" t="s">
        <v>653</v>
      </c>
      <c r="B41" s="195"/>
      <c r="C41" s="195"/>
      <c r="D41" s="187">
        <v>215999</v>
      </c>
      <c r="E41" s="581">
        <v>0</v>
      </c>
      <c r="F41" s="583"/>
      <c r="G41" s="142"/>
      <c r="H41" s="199"/>
      <c r="J41" s="174"/>
      <c r="K41" s="184"/>
    </row>
    <row r="42" spans="1:11" ht="18.75" customHeight="1">
      <c r="A42" s="200" t="s">
        <v>236</v>
      </c>
      <c r="B42" s="195"/>
      <c r="C42" s="195"/>
      <c r="D42" s="202">
        <v>215999</v>
      </c>
      <c r="E42" s="581">
        <v>0</v>
      </c>
      <c r="F42" s="583">
        <v>0</v>
      </c>
      <c r="G42" s="142"/>
      <c r="H42" s="199"/>
      <c r="J42" s="174"/>
      <c r="K42" s="184"/>
    </row>
    <row r="43" spans="1:11" ht="18.75" customHeight="1">
      <c r="A43" s="200"/>
      <c r="B43" s="195" t="s">
        <v>158</v>
      </c>
      <c r="C43" s="195"/>
      <c r="D43" s="204">
        <v>999</v>
      </c>
      <c r="E43" s="581">
        <v>0</v>
      </c>
      <c r="F43" s="583">
        <v>0</v>
      </c>
      <c r="G43" s="142"/>
      <c r="H43" s="199"/>
      <c r="J43" s="174"/>
      <c r="K43" s="184"/>
    </row>
    <row r="44" spans="1:11" ht="18.75" customHeight="1">
      <c r="A44" s="200" t="s">
        <v>232</v>
      </c>
      <c r="B44" s="195"/>
      <c r="C44" s="195"/>
      <c r="D44" s="204">
        <v>112002</v>
      </c>
      <c r="E44" s="205">
        <v>0</v>
      </c>
      <c r="F44" s="197"/>
      <c r="G44" s="142"/>
      <c r="H44" s="199"/>
      <c r="J44" s="174"/>
      <c r="K44" s="184"/>
    </row>
    <row r="45" spans="1:11" ht="18.75" customHeight="1">
      <c r="A45" s="200" t="s">
        <v>248</v>
      </c>
      <c r="B45" s="195"/>
      <c r="C45" s="195"/>
      <c r="D45" s="153" t="s">
        <v>191</v>
      </c>
      <c r="E45" s="205">
        <v>0</v>
      </c>
      <c r="F45" s="197"/>
      <c r="G45" s="142"/>
      <c r="H45" s="199"/>
      <c r="J45" s="174"/>
      <c r="K45" s="184"/>
    </row>
    <row r="46" spans="1:9" s="211" customFormat="1" ht="18.75" customHeight="1">
      <c r="A46" s="206"/>
      <c r="B46" s="195" t="s">
        <v>101</v>
      </c>
      <c r="C46" s="207"/>
      <c r="D46" s="208" t="s">
        <v>242</v>
      </c>
      <c r="E46" s="205"/>
      <c r="F46" s="197">
        <v>4953640.76</v>
      </c>
      <c r="G46" s="209">
        <f>SUM(E32:E42)</f>
        <v>23052.5</v>
      </c>
      <c r="H46" s="210">
        <f>SUM(F32:F42)</f>
        <v>25738.89</v>
      </c>
      <c r="I46" s="209"/>
    </row>
    <row r="47" spans="1:9" s="211" customFormat="1" ht="18.75" customHeight="1">
      <c r="A47" s="206"/>
      <c r="B47" s="212" t="s">
        <v>152</v>
      </c>
      <c r="C47" s="207"/>
      <c r="D47" s="208" t="s">
        <v>184</v>
      </c>
      <c r="E47" s="213"/>
      <c r="F47" s="197">
        <v>0</v>
      </c>
      <c r="G47" s="209"/>
      <c r="H47" s="210"/>
      <c r="I47" s="209"/>
    </row>
    <row r="48" spans="1:8" ht="18.75" customHeight="1">
      <c r="A48" s="206"/>
      <c r="B48" s="195" t="s">
        <v>623</v>
      </c>
      <c r="C48" s="207"/>
      <c r="D48" s="204">
        <v>400000</v>
      </c>
      <c r="E48" s="213">
        <v>0</v>
      </c>
      <c r="F48" s="197">
        <v>0</v>
      </c>
      <c r="H48" s="184"/>
    </row>
    <row r="49" spans="1:7" ht="18.75" customHeight="1" thickBot="1">
      <c r="A49" s="762" t="s">
        <v>73</v>
      </c>
      <c r="B49" s="763"/>
      <c r="C49" s="764"/>
      <c r="D49" s="214"/>
      <c r="E49" s="215">
        <f>SUM(E6:E48)</f>
        <v>4979379.65</v>
      </c>
      <c r="F49" s="216">
        <f>SUM(F8:F48)</f>
        <v>4979379.649999999</v>
      </c>
      <c r="G49" s="184">
        <f>E49-F49</f>
        <v>0</v>
      </c>
    </row>
    <row r="50" spans="1:8" ht="21.75" customHeight="1">
      <c r="A50" s="139" t="s">
        <v>723</v>
      </c>
      <c r="B50" s="139"/>
      <c r="C50" s="139"/>
      <c r="D50" s="139"/>
      <c r="E50" s="139"/>
      <c r="F50" s="139"/>
      <c r="G50" s="139"/>
      <c r="H50" s="146"/>
    </row>
    <row r="51" spans="1:6" ht="21.75" customHeight="1">
      <c r="A51" s="753" t="s">
        <v>34</v>
      </c>
      <c r="B51" s="754"/>
      <c r="C51" s="753" t="s">
        <v>569</v>
      </c>
      <c r="D51" s="754"/>
      <c r="E51" s="753" t="s">
        <v>570</v>
      </c>
      <c r="F51" s="754"/>
    </row>
    <row r="52" spans="1:6" ht="18.75" customHeight="1">
      <c r="A52" s="676"/>
      <c r="B52" s="678"/>
      <c r="C52" s="422"/>
      <c r="D52" s="679"/>
      <c r="E52" s="676"/>
      <c r="F52" s="677"/>
    </row>
    <row r="53" spans="1:6" ht="18.75" customHeight="1">
      <c r="A53" s="756" t="s">
        <v>571</v>
      </c>
      <c r="B53" s="757"/>
      <c r="C53" s="771" t="s">
        <v>707</v>
      </c>
      <c r="D53" s="772"/>
      <c r="E53" s="756" t="s">
        <v>571</v>
      </c>
      <c r="F53" s="757"/>
    </row>
    <row r="54" spans="1:6" ht="18.75" customHeight="1">
      <c r="A54" s="758" t="s">
        <v>572</v>
      </c>
      <c r="B54" s="759"/>
      <c r="C54" s="773" t="s">
        <v>704</v>
      </c>
      <c r="D54" s="774"/>
      <c r="E54" s="758" t="s">
        <v>572</v>
      </c>
      <c r="F54" s="759"/>
    </row>
    <row r="55" ht="18.75" customHeight="1"/>
  </sheetData>
  <sheetProtection/>
  <mergeCells count="17">
    <mergeCell ref="A54:B54"/>
    <mergeCell ref="E54:F54"/>
    <mergeCell ref="C53:D53"/>
    <mergeCell ref="C54:D54"/>
    <mergeCell ref="C51:D51"/>
    <mergeCell ref="A51:B51"/>
    <mergeCell ref="E51:F51"/>
    <mergeCell ref="A53:B53"/>
    <mergeCell ref="E53:F53"/>
    <mergeCell ref="A49:C49"/>
    <mergeCell ref="A29:C29"/>
    <mergeCell ref="A2:C2"/>
    <mergeCell ref="D2:F2"/>
    <mergeCell ref="A3:F3"/>
    <mergeCell ref="A5:C5"/>
    <mergeCell ref="A27:B27"/>
    <mergeCell ref="A28:C28"/>
  </mergeCells>
  <printOptions horizontalCentered="1"/>
  <pageMargins left="0.3937007874015748" right="0.1968503937007874" top="0.3937007874015748" bottom="0" header="0.2362204724409449" footer="0.31496062992125984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"/>
  <sheetViews>
    <sheetView zoomScalePageLayoutView="0" workbookViewId="0" topLeftCell="A85">
      <selection activeCell="A91" sqref="A91:B91"/>
    </sheetView>
  </sheetViews>
  <sheetFormatPr defaultColWidth="9.140625" defaultRowHeight="21.75"/>
  <cols>
    <col min="1" max="1" width="14.7109375" style="0" customWidth="1"/>
    <col min="2" max="2" width="20.8515625" style="0" customWidth="1"/>
    <col min="3" max="3" width="33.140625" style="0" customWidth="1"/>
    <col min="4" max="4" width="12.7109375" style="0" customWidth="1"/>
    <col min="5" max="5" width="16.8515625" style="0" customWidth="1"/>
    <col min="6" max="6" width="17.28125" style="0" customWidth="1"/>
    <col min="7" max="7" width="17.140625" style="0" customWidth="1"/>
  </cols>
  <sheetData>
    <row r="1" spans="1:6" ht="19.5" customHeight="1">
      <c r="A1" s="139"/>
      <c r="B1" s="139"/>
      <c r="C1" s="139"/>
      <c r="D1" s="139"/>
      <c r="E1" s="140"/>
      <c r="F1" s="710" t="str">
        <f>'ใบผ่านรายการ  2'!F1</f>
        <v> เลขที่     /2560</v>
      </c>
    </row>
    <row r="2" spans="1:7" ht="19.5" customHeight="1">
      <c r="A2" s="139"/>
      <c r="B2" s="139"/>
      <c r="C2" s="139"/>
      <c r="D2" s="143" t="s">
        <v>718</v>
      </c>
      <c r="G2" s="141"/>
    </row>
    <row r="3" spans="1:7" ht="19.5" customHeight="1">
      <c r="A3" s="775" t="s">
        <v>576</v>
      </c>
      <c r="B3" s="775"/>
      <c r="C3" s="775"/>
      <c r="D3" s="775"/>
      <c r="E3" s="775"/>
      <c r="F3" s="775"/>
      <c r="G3" s="141"/>
    </row>
    <row r="4" spans="1:8" ht="19.5" customHeight="1" thickBot="1">
      <c r="A4" s="145" t="s">
        <v>378</v>
      </c>
      <c r="B4" s="139"/>
      <c r="C4" s="139"/>
      <c r="D4" s="139"/>
      <c r="E4" s="139"/>
      <c r="F4" s="139"/>
      <c r="G4" s="139"/>
      <c r="H4" s="146"/>
    </row>
    <row r="5" spans="1:8" ht="19.5" customHeight="1" thickBot="1">
      <c r="A5" s="769" t="s">
        <v>52</v>
      </c>
      <c r="B5" s="770"/>
      <c r="C5" s="770"/>
      <c r="D5" s="698" t="s">
        <v>47</v>
      </c>
      <c r="E5" s="176" t="s">
        <v>9</v>
      </c>
      <c r="F5" s="176" t="s">
        <v>10</v>
      </c>
      <c r="G5" s="139"/>
      <c r="H5" s="146"/>
    </row>
    <row r="6" spans="1:8" ht="19.5" customHeight="1">
      <c r="A6" s="151" t="s">
        <v>6</v>
      </c>
      <c r="B6" s="222"/>
      <c r="C6" s="461"/>
      <c r="D6" s="699">
        <v>40000000</v>
      </c>
      <c r="E6" s="700">
        <f>F43+F58+F59+F60+F61+F62+F63+F64+F65+F66+F67+F68+F69+F70+F71+F72+F73+F74+F75</f>
        <v>2245709.83</v>
      </c>
      <c r="F6" s="700"/>
      <c r="G6" s="139"/>
      <c r="H6" s="146"/>
    </row>
    <row r="7" spans="1:8" ht="19.5" customHeight="1">
      <c r="A7" s="158"/>
      <c r="B7" s="152" t="s">
        <v>545</v>
      </c>
      <c r="C7" s="464"/>
      <c r="D7" s="169">
        <v>41100001</v>
      </c>
      <c r="E7" s="700"/>
      <c r="F7" s="154">
        <v>4373</v>
      </c>
      <c r="G7" s="139"/>
      <c r="H7" s="146"/>
    </row>
    <row r="8" spans="1:8" ht="19.5" customHeight="1">
      <c r="A8" s="158"/>
      <c r="B8" s="152" t="s">
        <v>517</v>
      </c>
      <c r="C8" s="464"/>
      <c r="D8" s="169">
        <v>41100003</v>
      </c>
      <c r="E8" s="700"/>
      <c r="F8" s="154">
        <v>769.52</v>
      </c>
      <c r="G8" s="139"/>
      <c r="H8" s="146"/>
    </row>
    <row r="9" spans="1:8" ht="19.5" customHeight="1">
      <c r="A9" s="158"/>
      <c r="B9" s="152" t="s">
        <v>518</v>
      </c>
      <c r="C9" s="464"/>
      <c r="D9" s="169">
        <v>41100004</v>
      </c>
      <c r="E9" s="700"/>
      <c r="F9" s="154">
        <v>0</v>
      </c>
      <c r="G9" s="155">
        <f>F7+F8+F9</f>
        <v>5142.52</v>
      </c>
      <c r="H9" s="146"/>
    </row>
    <row r="10" spans="1:8" ht="19.5" customHeight="1">
      <c r="A10" s="158"/>
      <c r="B10" s="152" t="s">
        <v>577</v>
      </c>
      <c r="C10" s="464"/>
      <c r="D10" s="169">
        <v>41210009</v>
      </c>
      <c r="E10" s="700"/>
      <c r="F10" s="701"/>
      <c r="G10" s="139"/>
      <c r="H10" s="146"/>
    </row>
    <row r="11" spans="1:8" ht="19.5" customHeight="1">
      <c r="A11" s="158"/>
      <c r="B11" s="152" t="s">
        <v>578</v>
      </c>
      <c r="C11" s="464"/>
      <c r="D11" s="169">
        <v>41210004</v>
      </c>
      <c r="E11" s="700"/>
      <c r="F11" s="716">
        <v>776</v>
      </c>
      <c r="G11" s="139"/>
      <c r="H11" s="146"/>
    </row>
    <row r="12" spans="1:8" ht="19.5" customHeight="1">
      <c r="A12" s="158"/>
      <c r="B12" s="152" t="s">
        <v>520</v>
      </c>
      <c r="C12" s="464"/>
      <c r="D12" s="169">
        <v>41210007</v>
      </c>
      <c r="E12" s="700"/>
      <c r="F12" s="154">
        <v>65</v>
      </c>
      <c r="G12" s="139"/>
      <c r="H12" s="146"/>
    </row>
    <row r="13" spans="1:8" ht="19.5" customHeight="1">
      <c r="A13" s="158"/>
      <c r="B13" s="152" t="s">
        <v>579</v>
      </c>
      <c r="C13" s="464"/>
      <c r="D13" s="169">
        <v>41210008</v>
      </c>
      <c r="E13" s="700"/>
      <c r="F13" s="702">
        <v>21760</v>
      </c>
      <c r="G13" s="139"/>
      <c r="H13" s="146"/>
    </row>
    <row r="14" spans="1:8" ht="19.5" customHeight="1">
      <c r="A14" s="158"/>
      <c r="B14" s="152" t="s">
        <v>523</v>
      </c>
      <c r="C14" s="464"/>
      <c r="D14" s="169">
        <v>41220002</v>
      </c>
      <c r="E14" s="703"/>
      <c r="F14" s="154">
        <v>6100</v>
      </c>
      <c r="G14" s="139"/>
      <c r="H14" s="146"/>
    </row>
    <row r="15" spans="1:8" ht="19.5" customHeight="1">
      <c r="A15" s="158"/>
      <c r="B15" s="152" t="s">
        <v>609</v>
      </c>
      <c r="C15" s="464"/>
      <c r="D15" s="169">
        <v>41220007</v>
      </c>
      <c r="E15" s="700"/>
      <c r="F15" s="717">
        <v>0</v>
      </c>
      <c r="G15" s="139"/>
      <c r="H15" s="146"/>
    </row>
    <row r="16" spans="1:8" ht="18.75" customHeight="1">
      <c r="A16" s="158"/>
      <c r="B16" s="152" t="s">
        <v>580</v>
      </c>
      <c r="C16" s="464"/>
      <c r="D16" s="169">
        <v>41210013</v>
      </c>
      <c r="E16" s="700"/>
      <c r="F16" s="717">
        <v>220</v>
      </c>
      <c r="G16" s="139"/>
      <c r="H16" s="146"/>
    </row>
    <row r="17" spans="1:8" ht="19.5" customHeight="1">
      <c r="A17" s="158"/>
      <c r="B17" s="152" t="s">
        <v>581</v>
      </c>
      <c r="C17" s="464"/>
      <c r="D17" s="169">
        <v>41210029</v>
      </c>
      <c r="E17" s="703"/>
      <c r="F17" s="717">
        <v>20</v>
      </c>
      <c r="G17" s="139"/>
      <c r="H17" s="146"/>
    </row>
    <row r="18" spans="1:8" ht="19.5" customHeight="1">
      <c r="A18" s="158"/>
      <c r="B18" s="152" t="s">
        <v>550</v>
      </c>
      <c r="C18" s="464"/>
      <c r="D18" s="169">
        <v>41219999</v>
      </c>
      <c r="E18" s="703"/>
      <c r="F18" s="717"/>
      <c r="G18" s="139"/>
      <c r="H18" s="146"/>
    </row>
    <row r="19" spans="1:8" ht="19.5" customHeight="1">
      <c r="A19" s="158"/>
      <c r="B19" s="152" t="s">
        <v>531</v>
      </c>
      <c r="C19" s="464"/>
      <c r="D19" s="169">
        <v>41220010</v>
      </c>
      <c r="E19" s="703"/>
      <c r="F19" s="717">
        <v>2400</v>
      </c>
      <c r="G19" s="139"/>
      <c r="H19" s="146"/>
    </row>
    <row r="20" spans="1:8" ht="19.5" customHeight="1">
      <c r="A20" s="158"/>
      <c r="B20" s="152" t="s">
        <v>582</v>
      </c>
      <c r="C20" s="464"/>
      <c r="D20" s="169">
        <v>41230003</v>
      </c>
      <c r="E20" s="703"/>
      <c r="F20" s="717"/>
      <c r="G20" s="139"/>
      <c r="H20" s="146"/>
    </row>
    <row r="21" spans="1:8" ht="19.5" customHeight="1">
      <c r="A21" s="158"/>
      <c r="B21" s="457" t="s">
        <v>583</v>
      </c>
      <c r="C21" s="464"/>
      <c r="D21" s="169">
        <v>41230004</v>
      </c>
      <c r="E21" s="703"/>
      <c r="F21" s="154"/>
      <c r="G21" s="139"/>
      <c r="H21" s="146"/>
    </row>
    <row r="22" spans="1:8" ht="19.5" customHeight="1">
      <c r="A22" s="158"/>
      <c r="B22" s="751" t="s">
        <v>525</v>
      </c>
      <c r="C22" s="752"/>
      <c r="D22" s="169">
        <v>41230005</v>
      </c>
      <c r="E22" s="703"/>
      <c r="F22" s="154"/>
      <c r="G22" s="139"/>
      <c r="H22" s="146"/>
    </row>
    <row r="23" spans="1:8" ht="18" customHeight="1">
      <c r="A23" s="158"/>
      <c r="B23" s="152" t="s">
        <v>526</v>
      </c>
      <c r="C23" s="464"/>
      <c r="D23" s="169">
        <v>41230007</v>
      </c>
      <c r="E23" s="703"/>
      <c r="F23" s="154">
        <v>20</v>
      </c>
      <c r="G23" s="139"/>
      <c r="H23" s="146"/>
    </row>
    <row r="24" spans="1:8" ht="19.5" customHeight="1">
      <c r="A24" s="158"/>
      <c r="B24" s="152" t="s">
        <v>584</v>
      </c>
      <c r="C24" s="464"/>
      <c r="D24" s="169">
        <v>41230008</v>
      </c>
      <c r="E24" s="703"/>
      <c r="F24" s="154">
        <v>0</v>
      </c>
      <c r="G24" s="139"/>
      <c r="H24" s="146"/>
    </row>
    <row r="25" spans="1:8" ht="18" customHeight="1">
      <c r="A25" s="158"/>
      <c r="B25" s="152" t="s">
        <v>549</v>
      </c>
      <c r="C25" s="464"/>
      <c r="D25" s="169">
        <v>41239999</v>
      </c>
      <c r="E25" s="703"/>
      <c r="F25" s="702"/>
      <c r="G25" s="139"/>
      <c r="H25" s="146"/>
    </row>
    <row r="26" spans="1:8" ht="18" customHeight="1">
      <c r="A26" s="158"/>
      <c r="B26" s="152" t="s">
        <v>616</v>
      </c>
      <c r="C26" s="464"/>
      <c r="D26" s="169">
        <v>41239999</v>
      </c>
      <c r="E26" s="703"/>
      <c r="F26" s="702"/>
      <c r="G26" s="155">
        <f>F11+F12+F13+F14+F15+F16+F18+F19+F17+F20+F21+F22+F23+F24+F25+F26+F27</f>
        <v>31361</v>
      </c>
      <c r="H26" s="146"/>
    </row>
    <row r="27" spans="1:8" ht="18" customHeight="1">
      <c r="A27" s="158"/>
      <c r="B27" s="152" t="s">
        <v>701</v>
      </c>
      <c r="C27" s="464"/>
      <c r="D27" s="169"/>
      <c r="E27" s="703"/>
      <c r="F27" s="702">
        <v>0</v>
      </c>
      <c r="G27" s="155"/>
      <c r="H27" s="146"/>
    </row>
    <row r="28" spans="1:8" ht="18" customHeight="1">
      <c r="A28" s="158"/>
      <c r="B28" s="152" t="s">
        <v>585</v>
      </c>
      <c r="C28" s="464"/>
      <c r="D28" s="169">
        <v>41300002</v>
      </c>
      <c r="E28" s="703"/>
      <c r="F28" s="702">
        <v>34700</v>
      </c>
      <c r="G28" s="718"/>
      <c r="H28" s="146"/>
    </row>
    <row r="29" spans="1:8" ht="18" customHeight="1">
      <c r="A29" s="158"/>
      <c r="B29" s="152" t="s">
        <v>631</v>
      </c>
      <c r="C29" s="464"/>
      <c r="D29" s="169"/>
      <c r="E29" s="703"/>
      <c r="F29" s="702">
        <v>0</v>
      </c>
      <c r="G29" s="718">
        <f>F28+F29</f>
        <v>34700</v>
      </c>
      <c r="H29" s="146"/>
    </row>
    <row r="30" spans="1:8" ht="18" customHeight="1">
      <c r="A30" s="158"/>
      <c r="B30" s="152" t="s">
        <v>537</v>
      </c>
      <c r="C30" s="464"/>
      <c r="D30" s="169">
        <v>41500004</v>
      </c>
      <c r="E30" s="703"/>
      <c r="F30" s="702">
        <v>0</v>
      </c>
      <c r="G30" s="718"/>
      <c r="H30" s="146"/>
    </row>
    <row r="31" spans="1:8" ht="18" customHeight="1">
      <c r="A31" s="158"/>
      <c r="B31" s="152" t="s">
        <v>538</v>
      </c>
      <c r="C31" s="464"/>
      <c r="D31" s="169">
        <v>41500006</v>
      </c>
      <c r="E31" s="703"/>
      <c r="F31" s="154">
        <v>8</v>
      </c>
      <c r="G31" s="718"/>
      <c r="H31" s="146"/>
    </row>
    <row r="32" spans="1:8" ht="19.5" customHeight="1">
      <c r="A32" s="158"/>
      <c r="B32" s="152" t="s">
        <v>617</v>
      </c>
      <c r="C32" s="464"/>
      <c r="D32" s="169">
        <v>41599999</v>
      </c>
      <c r="E32" s="703"/>
      <c r="F32" s="702">
        <v>3183</v>
      </c>
      <c r="G32" s="718">
        <f>F31+F32+F30</f>
        <v>3191</v>
      </c>
      <c r="H32" s="146"/>
    </row>
    <row r="33" spans="1:8" ht="18" customHeight="1">
      <c r="A33" s="158"/>
      <c r="B33" s="152" t="s">
        <v>532</v>
      </c>
      <c r="C33" s="464"/>
      <c r="D33" s="169"/>
      <c r="E33" s="703"/>
      <c r="F33" s="702"/>
      <c r="G33" s="718"/>
      <c r="H33" s="146"/>
    </row>
    <row r="34" spans="1:8" ht="18" customHeight="1">
      <c r="A34" s="158"/>
      <c r="B34" s="152" t="s">
        <v>412</v>
      </c>
      <c r="C34" s="464"/>
      <c r="D34" s="169">
        <v>42100001</v>
      </c>
      <c r="E34" s="703"/>
      <c r="F34" s="154">
        <v>81891.85</v>
      </c>
      <c r="G34" s="139"/>
      <c r="H34" s="146"/>
    </row>
    <row r="35" spans="1:8" ht="18" customHeight="1">
      <c r="A35" s="158"/>
      <c r="B35" s="152" t="s">
        <v>586</v>
      </c>
      <c r="C35" s="464"/>
      <c r="D35" s="169">
        <v>42100002</v>
      </c>
      <c r="E35" s="703"/>
      <c r="F35" s="154">
        <v>1389415.21</v>
      </c>
      <c r="G35" s="139"/>
      <c r="H35" s="146"/>
    </row>
    <row r="36" spans="1:8" ht="19.5" customHeight="1">
      <c r="A36" s="158"/>
      <c r="B36" s="152" t="s">
        <v>587</v>
      </c>
      <c r="C36" s="464"/>
      <c r="D36" s="169">
        <v>42100004</v>
      </c>
      <c r="E36" s="703"/>
      <c r="F36" s="154">
        <v>119236.17</v>
      </c>
      <c r="G36" s="139"/>
      <c r="H36" s="146"/>
    </row>
    <row r="37" spans="1:8" ht="19.5" customHeight="1">
      <c r="A37" s="158"/>
      <c r="B37" s="152" t="s">
        <v>399</v>
      </c>
      <c r="C37" s="464"/>
      <c r="D37" s="169">
        <v>42100005</v>
      </c>
      <c r="E37" s="703"/>
      <c r="F37" s="154">
        <v>7092.31</v>
      </c>
      <c r="G37" s="139"/>
      <c r="H37" s="146"/>
    </row>
    <row r="38" spans="1:8" ht="19.5" customHeight="1">
      <c r="A38" s="158"/>
      <c r="B38" s="152" t="s">
        <v>416</v>
      </c>
      <c r="C38" s="464"/>
      <c r="D38" s="169">
        <v>42100006</v>
      </c>
      <c r="E38" s="703"/>
      <c r="F38" s="154">
        <v>56877.45</v>
      </c>
      <c r="G38" s="139"/>
      <c r="H38" s="146"/>
    </row>
    <row r="39" spans="1:8" ht="19.5" customHeight="1">
      <c r="A39" s="158"/>
      <c r="B39" s="152" t="s">
        <v>417</v>
      </c>
      <c r="C39" s="464"/>
      <c r="D39" s="169">
        <v>42100007</v>
      </c>
      <c r="E39" s="703"/>
      <c r="F39" s="154">
        <v>138673.42</v>
      </c>
      <c r="G39" s="139"/>
      <c r="H39" s="146"/>
    </row>
    <row r="40" spans="1:8" ht="19.5" customHeight="1">
      <c r="A40" s="158"/>
      <c r="B40" s="152" t="s">
        <v>541</v>
      </c>
      <c r="C40" s="464"/>
      <c r="D40" s="169">
        <v>42100012</v>
      </c>
      <c r="E40" s="703"/>
      <c r="F40" s="154">
        <v>0</v>
      </c>
      <c r="G40" s="139"/>
      <c r="H40" s="146"/>
    </row>
    <row r="41" spans="1:8" ht="19.5" customHeight="1">
      <c r="A41" s="158"/>
      <c r="B41" s="152" t="s">
        <v>611</v>
      </c>
      <c r="C41" s="464"/>
      <c r="D41" s="169">
        <v>42100013</v>
      </c>
      <c r="E41" s="703"/>
      <c r="F41" s="154">
        <v>6237.9</v>
      </c>
      <c r="G41" s="139"/>
      <c r="H41" s="146"/>
    </row>
    <row r="42" spans="1:8" ht="19.5" customHeight="1" thickBot="1">
      <c r="A42" s="494"/>
      <c r="B42" s="164" t="s">
        <v>588</v>
      </c>
      <c r="C42" s="497"/>
      <c r="D42" s="712">
        <v>42100015</v>
      </c>
      <c r="E42" s="705"/>
      <c r="F42" s="713">
        <v>371891</v>
      </c>
      <c r="G42" s="155">
        <f>F34+F35+F36+F37+F38+F39+F40+F41+F42</f>
        <v>2171315.3099999996</v>
      </c>
      <c r="H42" s="146"/>
    </row>
    <row r="43" spans="1:8" ht="19.5" customHeight="1" thickBot="1">
      <c r="A43" s="738"/>
      <c r="B43" s="739"/>
      <c r="C43" s="739" t="s">
        <v>70</v>
      </c>
      <c r="D43" s="709"/>
      <c r="E43" s="740"/>
      <c r="F43" s="740">
        <f>SUM(F6:F42)</f>
        <v>2245709.83</v>
      </c>
      <c r="G43" s="139"/>
      <c r="H43" s="146"/>
    </row>
    <row r="44" spans="1:8" ht="19.5" customHeight="1">
      <c r="A44" s="732"/>
      <c r="B44" s="733"/>
      <c r="C44" s="733"/>
      <c r="D44" s="734"/>
      <c r="E44" s="735"/>
      <c r="F44" s="735"/>
      <c r="G44" s="139"/>
      <c r="H44" s="146"/>
    </row>
    <row r="45" spans="1:8" ht="19.5" customHeight="1">
      <c r="A45" s="732"/>
      <c r="B45" s="733"/>
      <c r="C45" s="733"/>
      <c r="D45" s="734"/>
      <c r="E45" s="735"/>
      <c r="F45" s="735"/>
      <c r="G45" s="139"/>
      <c r="H45" s="146"/>
    </row>
    <row r="46" spans="1:8" ht="19.5" customHeight="1">
      <c r="A46" s="139" t="s">
        <v>723</v>
      </c>
      <c r="B46" s="139"/>
      <c r="C46" s="139"/>
      <c r="D46" s="139"/>
      <c r="E46" s="139"/>
      <c r="F46" s="139"/>
      <c r="G46" s="139"/>
      <c r="H46" s="146"/>
    </row>
    <row r="47" spans="1:8" ht="19.5" customHeight="1">
      <c r="A47" s="753" t="s">
        <v>34</v>
      </c>
      <c r="B47" s="754"/>
      <c r="C47" s="753" t="s">
        <v>569</v>
      </c>
      <c r="D47" s="754"/>
      <c r="E47" s="753" t="s">
        <v>570</v>
      </c>
      <c r="F47" s="754"/>
      <c r="G47" s="139"/>
      <c r="H47" s="146"/>
    </row>
    <row r="48" spans="1:8" ht="19.5" customHeight="1">
      <c r="A48" s="676"/>
      <c r="B48" s="678"/>
      <c r="C48" s="422"/>
      <c r="D48" s="679"/>
      <c r="E48" s="676"/>
      <c r="F48" s="677"/>
      <c r="G48" s="139"/>
      <c r="H48" s="146"/>
    </row>
    <row r="49" spans="1:8" ht="19.5" customHeight="1">
      <c r="A49" s="756" t="s">
        <v>571</v>
      </c>
      <c r="B49" s="757"/>
      <c r="C49" s="771" t="s">
        <v>703</v>
      </c>
      <c r="D49" s="772"/>
      <c r="E49" s="756" t="s">
        <v>571</v>
      </c>
      <c r="F49" s="757"/>
      <c r="G49" s="139"/>
      <c r="H49" s="146"/>
    </row>
    <row r="50" spans="1:8" ht="19.5" customHeight="1">
      <c r="A50" s="758" t="s">
        <v>572</v>
      </c>
      <c r="B50" s="759"/>
      <c r="C50" s="773" t="s">
        <v>704</v>
      </c>
      <c r="D50" s="774"/>
      <c r="E50" s="758" t="s">
        <v>572</v>
      </c>
      <c r="F50" s="759"/>
      <c r="G50" s="139"/>
      <c r="H50" s="146"/>
    </row>
    <row r="51" spans="1:8" ht="19.5" customHeight="1">
      <c r="A51" s="169"/>
      <c r="B51" s="169"/>
      <c r="C51" s="170"/>
      <c r="D51" s="170"/>
      <c r="E51" s="169"/>
      <c r="F51" s="169"/>
      <c r="G51" s="139"/>
      <c r="H51" s="146"/>
    </row>
    <row r="52" spans="1:8" ht="19.5" customHeight="1">
      <c r="A52" s="169"/>
      <c r="B52" s="169"/>
      <c r="C52" s="170"/>
      <c r="D52" s="170"/>
      <c r="E52" s="169"/>
      <c r="F52" s="169"/>
      <c r="G52" s="139"/>
      <c r="H52" s="146"/>
    </row>
    <row r="53" spans="1:8" ht="23.25">
      <c r="A53" s="139"/>
      <c r="B53" s="139"/>
      <c r="C53" s="139"/>
      <c r="D53" s="139"/>
      <c r="E53" s="140"/>
      <c r="F53" s="710" t="s">
        <v>677</v>
      </c>
      <c r="G53" s="139"/>
      <c r="H53" s="146"/>
    </row>
    <row r="54" spans="1:8" ht="23.25">
      <c r="A54" s="139"/>
      <c r="B54" s="139"/>
      <c r="C54" s="139"/>
      <c r="D54" s="143" t="s">
        <v>718</v>
      </c>
      <c r="G54" s="139"/>
      <c r="H54" s="146"/>
    </row>
    <row r="55" spans="1:8" ht="23.25">
      <c r="A55" s="775" t="s">
        <v>576</v>
      </c>
      <c r="B55" s="775"/>
      <c r="C55" s="775"/>
      <c r="D55" s="775"/>
      <c r="E55" s="775"/>
      <c r="F55" s="775"/>
      <c r="G55" s="139"/>
      <c r="H55" s="146"/>
    </row>
    <row r="56" spans="1:8" ht="24" thickBot="1">
      <c r="A56" s="145" t="s">
        <v>378</v>
      </c>
      <c r="B56" s="139"/>
      <c r="C56" s="139"/>
      <c r="D56" s="139"/>
      <c r="E56" s="139"/>
      <c r="F56" s="139"/>
      <c r="G56" s="139"/>
      <c r="H56" s="146"/>
    </row>
    <row r="57" spans="1:8" ht="24" thickBot="1">
      <c r="A57" s="769" t="s">
        <v>52</v>
      </c>
      <c r="B57" s="770"/>
      <c r="C57" s="770"/>
      <c r="D57" s="698" t="s">
        <v>47</v>
      </c>
      <c r="E57" s="176" t="s">
        <v>9</v>
      </c>
      <c r="F57" s="176" t="s">
        <v>10</v>
      </c>
      <c r="G57" s="139"/>
      <c r="H57" s="146"/>
    </row>
    <row r="58" spans="1:8" ht="23.25">
      <c r="A58" s="158"/>
      <c r="B58" s="152" t="s">
        <v>294</v>
      </c>
      <c r="C58" s="464"/>
      <c r="D58" s="169">
        <v>41100001</v>
      </c>
      <c r="E58" s="700"/>
      <c r="F58" s="154">
        <v>0</v>
      </c>
      <c r="G58" s="139"/>
      <c r="H58" s="146"/>
    </row>
    <row r="59" spans="1:8" ht="23.25">
      <c r="A59" s="158"/>
      <c r="B59" s="152" t="s">
        <v>648</v>
      </c>
      <c r="C59" s="464"/>
      <c r="D59" s="169">
        <v>41100003</v>
      </c>
      <c r="E59" s="700"/>
      <c r="F59" s="154">
        <v>0</v>
      </c>
      <c r="G59" s="139"/>
      <c r="H59" s="146"/>
    </row>
    <row r="60" spans="1:8" ht="23.25">
      <c r="A60" s="158"/>
      <c r="B60" s="152" t="s">
        <v>678</v>
      </c>
      <c r="C60" s="464"/>
      <c r="D60" s="169">
        <v>41210009</v>
      </c>
      <c r="E60" s="700"/>
      <c r="F60" s="154"/>
      <c r="G60" s="139"/>
      <c r="H60" s="146"/>
    </row>
    <row r="61" spans="1:8" ht="23.25">
      <c r="A61" s="158"/>
      <c r="B61" s="152" t="s">
        <v>679</v>
      </c>
      <c r="C61" s="464"/>
      <c r="D61" s="169">
        <v>41210004</v>
      </c>
      <c r="E61" s="700"/>
      <c r="F61" s="154"/>
      <c r="G61" s="139"/>
      <c r="H61" s="146"/>
    </row>
    <row r="62" spans="1:7" ht="21.75" customHeight="1">
      <c r="A62" s="158"/>
      <c r="B62" s="152" t="s">
        <v>647</v>
      </c>
      <c r="C62" s="464"/>
      <c r="D62" s="169">
        <v>41210007</v>
      </c>
      <c r="E62" s="700"/>
      <c r="F62" s="154"/>
      <c r="G62" s="139"/>
    </row>
    <row r="63" spans="1:7" ht="21.75" customHeight="1">
      <c r="A63" s="158"/>
      <c r="B63" s="152" t="s">
        <v>680</v>
      </c>
      <c r="C63" s="464"/>
      <c r="D63" s="169">
        <v>41210008</v>
      </c>
      <c r="E63" s="700"/>
      <c r="F63" s="154">
        <v>0</v>
      </c>
      <c r="G63" s="139"/>
    </row>
    <row r="64" spans="1:7" ht="21.75" customHeight="1">
      <c r="A64" s="158"/>
      <c r="B64" s="152" t="s">
        <v>681</v>
      </c>
      <c r="C64" s="464"/>
      <c r="D64" s="169">
        <v>41220002</v>
      </c>
      <c r="E64" s="703"/>
      <c r="F64" s="154">
        <v>0</v>
      </c>
      <c r="G64" s="139"/>
    </row>
    <row r="65" spans="1:7" ht="21.75" customHeight="1">
      <c r="A65" s="158"/>
      <c r="B65" s="736" t="s">
        <v>682</v>
      </c>
      <c r="C65" s="464"/>
      <c r="D65" s="169">
        <v>41220007</v>
      </c>
      <c r="E65" s="700"/>
      <c r="F65" s="717">
        <v>0</v>
      </c>
      <c r="G65" s="139"/>
    </row>
    <row r="66" spans="1:7" ht="21.75" customHeight="1">
      <c r="A66" s="158"/>
      <c r="B66" s="152" t="s">
        <v>683</v>
      </c>
      <c r="C66" s="464"/>
      <c r="D66" s="169">
        <v>41210013</v>
      </c>
      <c r="E66" s="700"/>
      <c r="F66" s="717">
        <v>0</v>
      </c>
      <c r="G66" s="139"/>
    </row>
    <row r="67" spans="1:7" ht="21.75" customHeight="1">
      <c r="A67" s="158"/>
      <c r="B67" s="152" t="s">
        <v>622</v>
      </c>
      <c r="C67" s="464"/>
      <c r="D67" s="169">
        <v>41210029</v>
      </c>
      <c r="E67" s="703"/>
      <c r="F67" s="717"/>
      <c r="G67" s="139"/>
    </row>
    <row r="68" spans="1:7" ht="21.75" customHeight="1">
      <c r="A68" s="158"/>
      <c r="B68" s="152" t="s">
        <v>645</v>
      </c>
      <c r="C68" s="464"/>
      <c r="D68" s="169">
        <v>41219999</v>
      </c>
      <c r="E68" s="703"/>
      <c r="F68" s="717">
        <v>0</v>
      </c>
      <c r="G68" s="139"/>
    </row>
    <row r="69" spans="1:7" ht="21.75" customHeight="1">
      <c r="A69" s="158"/>
      <c r="B69" s="152" t="s">
        <v>646</v>
      </c>
      <c r="C69" s="464"/>
      <c r="D69" s="169">
        <v>41220010</v>
      </c>
      <c r="E69" s="703"/>
      <c r="F69" s="717"/>
      <c r="G69" s="139"/>
    </row>
    <row r="70" spans="1:7" ht="21.75" customHeight="1">
      <c r="A70" s="158"/>
      <c r="B70" s="152" t="s">
        <v>684</v>
      </c>
      <c r="C70" s="464"/>
      <c r="D70" s="169">
        <v>41230003</v>
      </c>
      <c r="E70" s="703"/>
      <c r="F70" s="717">
        <v>0</v>
      </c>
      <c r="G70" s="139"/>
    </row>
    <row r="71" spans="1:7" ht="21.75" customHeight="1">
      <c r="A71" s="158"/>
      <c r="B71" s="152" t="s">
        <v>702</v>
      </c>
      <c r="C71" s="464"/>
      <c r="D71" s="169"/>
      <c r="E71" s="703"/>
      <c r="F71" s="717">
        <v>0</v>
      </c>
      <c r="G71" s="139"/>
    </row>
    <row r="72" spans="1:7" ht="21.75" customHeight="1">
      <c r="A72" s="158"/>
      <c r="B72" s="457" t="s">
        <v>685</v>
      </c>
      <c r="C72" s="464"/>
      <c r="D72" s="169">
        <v>41230004</v>
      </c>
      <c r="E72" s="703"/>
      <c r="F72" s="154"/>
      <c r="G72" s="139"/>
    </row>
    <row r="73" spans="1:7" ht="21.75" customHeight="1">
      <c r="A73" s="158"/>
      <c r="B73" s="751" t="s">
        <v>686</v>
      </c>
      <c r="C73" s="752"/>
      <c r="D73" s="169">
        <v>41230005</v>
      </c>
      <c r="E73" s="703"/>
      <c r="F73" s="154"/>
      <c r="G73" s="155"/>
    </row>
    <row r="74" spans="1:7" ht="21.75" customHeight="1">
      <c r="A74" s="158"/>
      <c r="B74" s="152" t="s">
        <v>251</v>
      </c>
      <c r="C74" s="464"/>
      <c r="D74" s="169">
        <v>41230007</v>
      </c>
      <c r="E74" s="703"/>
      <c r="F74" s="154"/>
      <c r="G74" s="139"/>
    </row>
    <row r="75" spans="1:7" ht="21.75" customHeight="1">
      <c r="A75" s="158"/>
      <c r="B75" s="152" t="s">
        <v>610</v>
      </c>
      <c r="C75" s="464"/>
      <c r="D75" s="169">
        <v>41230008</v>
      </c>
      <c r="E75" s="703"/>
      <c r="F75" s="154">
        <v>0</v>
      </c>
      <c r="G75" s="155">
        <f>SUM(F58:F75)</f>
        <v>0</v>
      </c>
    </row>
    <row r="76" spans="1:7" ht="21.75" customHeight="1">
      <c r="A76" s="158"/>
      <c r="B76" s="152"/>
      <c r="C76" s="464"/>
      <c r="D76" s="169"/>
      <c r="E76" s="703"/>
      <c r="F76" s="702"/>
      <c r="G76" s="139"/>
    </row>
    <row r="77" spans="1:7" ht="21.75" customHeight="1">
      <c r="A77" s="158"/>
      <c r="B77" s="152"/>
      <c r="C77" s="464"/>
      <c r="D77" s="169"/>
      <c r="E77" s="703"/>
      <c r="F77" s="154"/>
      <c r="G77" s="139"/>
    </row>
    <row r="78" spans="1:7" ht="21.75" customHeight="1">
      <c r="A78" s="158"/>
      <c r="B78" s="152"/>
      <c r="C78" s="464"/>
      <c r="D78" s="169"/>
      <c r="E78" s="703"/>
      <c r="F78" s="702"/>
      <c r="G78" s="139"/>
    </row>
    <row r="79" spans="1:7" ht="21.75" customHeight="1">
      <c r="A79" s="158"/>
      <c r="B79" s="152"/>
      <c r="C79" s="464"/>
      <c r="D79" s="169"/>
      <c r="E79" s="703"/>
      <c r="F79" s="702"/>
      <c r="G79" s="139"/>
    </row>
    <row r="80" spans="1:7" ht="21.75" customHeight="1">
      <c r="A80" s="158"/>
      <c r="B80" s="152"/>
      <c r="C80" s="464"/>
      <c r="D80" s="169"/>
      <c r="E80" s="703"/>
      <c r="F80" s="702"/>
      <c r="G80" s="139"/>
    </row>
    <row r="81" spans="1:7" ht="21.75" customHeight="1">
      <c r="A81" s="158"/>
      <c r="B81" s="152"/>
      <c r="C81" s="464"/>
      <c r="D81" s="169"/>
      <c r="E81" s="703"/>
      <c r="F81" s="702"/>
      <c r="G81" s="139"/>
    </row>
    <row r="82" spans="1:7" ht="21.75" customHeight="1">
      <c r="A82" s="158"/>
      <c r="B82" s="152"/>
      <c r="C82" s="464"/>
      <c r="D82" s="169"/>
      <c r="E82" s="703"/>
      <c r="F82" s="702"/>
      <c r="G82" s="139"/>
    </row>
    <row r="83" spans="1:7" ht="21.75" customHeight="1">
      <c r="A83" s="158"/>
      <c r="B83" s="152"/>
      <c r="C83" s="464"/>
      <c r="D83" s="169"/>
      <c r="E83" s="703"/>
      <c r="F83" s="701"/>
      <c r="G83" s="139"/>
    </row>
    <row r="84" spans="1:7" ht="21.75" customHeight="1">
      <c r="A84" s="158"/>
      <c r="B84" s="152"/>
      <c r="C84" s="464"/>
      <c r="D84" s="169"/>
      <c r="E84" s="703"/>
      <c r="F84" s="154"/>
      <c r="G84" s="139"/>
    </row>
    <row r="85" spans="1:7" ht="21.75" customHeight="1">
      <c r="A85" s="158"/>
      <c r="B85" s="152"/>
      <c r="C85" s="464"/>
      <c r="D85" s="169"/>
      <c r="E85" s="703"/>
      <c r="F85" s="154"/>
      <c r="G85" s="139"/>
    </row>
    <row r="86" spans="1:7" ht="21.75" customHeight="1">
      <c r="A86" s="158"/>
      <c r="C86" s="464"/>
      <c r="D86" s="169"/>
      <c r="E86" s="703"/>
      <c r="F86" s="154"/>
      <c r="G86" s="139"/>
    </row>
    <row r="87" spans="1:7" ht="21.75" customHeight="1">
      <c r="A87" s="158"/>
      <c r="B87" s="152"/>
      <c r="C87" s="464"/>
      <c r="D87" s="169"/>
      <c r="E87" s="703"/>
      <c r="F87" s="154"/>
      <c r="G87" s="139"/>
    </row>
    <row r="88" spans="1:7" ht="21.75" customHeight="1" thickBot="1">
      <c r="A88" s="494"/>
      <c r="B88" s="737"/>
      <c r="C88" s="497"/>
      <c r="D88" s="712"/>
      <c r="E88" s="705"/>
      <c r="F88" s="713"/>
      <c r="G88" s="139"/>
    </row>
    <row r="89" spans="1:7" ht="21.75" customHeight="1" thickBot="1">
      <c r="A89" s="706" t="s">
        <v>73</v>
      </c>
      <c r="B89" s="707"/>
      <c r="C89" s="708"/>
      <c r="D89" s="709"/>
      <c r="E89" s="704">
        <f>E6</f>
        <v>2245709.83</v>
      </c>
      <c r="F89" s="704">
        <f>F43+F58+F59+F60+F61+F62+F63+F64+F65+F66+F67+F68+F69+F70+F71+F72+F73+F74+F75</f>
        <v>2245709.83</v>
      </c>
      <c r="G89" s="139"/>
    </row>
    <row r="90" spans="1:7" ht="21.75" customHeight="1">
      <c r="A90" s="139" t="s">
        <v>723</v>
      </c>
      <c r="B90" s="139"/>
      <c r="C90" s="139"/>
      <c r="D90" s="139"/>
      <c r="E90" s="139"/>
      <c r="F90" s="139"/>
      <c r="G90" s="139"/>
    </row>
    <row r="91" spans="1:7" ht="21.75" customHeight="1">
      <c r="A91" s="753" t="s">
        <v>34</v>
      </c>
      <c r="B91" s="754"/>
      <c r="C91" s="753" t="s">
        <v>569</v>
      </c>
      <c r="D91" s="754"/>
      <c r="E91" s="753" t="s">
        <v>570</v>
      </c>
      <c r="F91" s="754"/>
      <c r="G91" s="139"/>
    </row>
    <row r="92" spans="1:7" ht="21.75" customHeight="1">
      <c r="A92" s="676"/>
      <c r="B92" s="678"/>
      <c r="C92" s="422"/>
      <c r="D92" s="679"/>
      <c r="E92" s="676"/>
      <c r="F92" s="677"/>
      <c r="G92" s="139"/>
    </row>
    <row r="93" spans="1:7" ht="21.75" customHeight="1">
      <c r="A93" s="756" t="s">
        <v>571</v>
      </c>
      <c r="B93" s="757"/>
      <c r="C93" s="771" t="s">
        <v>703</v>
      </c>
      <c r="D93" s="772"/>
      <c r="E93" s="756" t="s">
        <v>571</v>
      </c>
      <c r="F93" s="757"/>
      <c r="G93" s="139"/>
    </row>
    <row r="94" spans="1:7" ht="21.75" customHeight="1">
      <c r="A94" s="758" t="s">
        <v>572</v>
      </c>
      <c r="B94" s="759"/>
      <c r="C94" s="773" t="s">
        <v>704</v>
      </c>
      <c r="D94" s="774"/>
      <c r="E94" s="758" t="s">
        <v>572</v>
      </c>
      <c r="F94" s="759"/>
      <c r="G94" s="139"/>
    </row>
    <row r="95" spans="1:7" ht="21.75" customHeight="1">
      <c r="A95" s="139"/>
      <c r="B95" s="139"/>
      <c r="C95" s="139"/>
      <c r="D95" s="139"/>
      <c r="E95" s="139"/>
      <c r="F95" s="139"/>
      <c r="G95" s="139"/>
    </row>
    <row r="96" spans="1:7" ht="21.75" customHeight="1">
      <c r="A96" s="139"/>
      <c r="B96" s="139"/>
      <c r="C96" s="139"/>
      <c r="D96" s="139"/>
      <c r="E96" s="139"/>
      <c r="F96" s="139"/>
      <c r="G96" s="139"/>
    </row>
    <row r="97" spans="1:7" ht="21.75" customHeight="1">
      <c r="A97" s="139"/>
      <c r="B97" s="139"/>
      <c r="C97" s="139"/>
      <c r="D97" s="139"/>
      <c r="E97" s="139"/>
      <c r="F97" s="139"/>
      <c r="G97" s="139"/>
    </row>
    <row r="98" spans="1:7" ht="21.75" customHeight="1">
      <c r="A98" s="139"/>
      <c r="B98" s="139"/>
      <c r="C98" s="139"/>
      <c r="D98" s="139" t="s">
        <v>267</v>
      </c>
      <c r="E98" s="139"/>
      <c r="F98" s="139"/>
      <c r="G98" s="139"/>
    </row>
    <row r="99" spans="1:7" ht="21.75" customHeight="1">
      <c r="A99" s="139"/>
      <c r="B99" s="139"/>
      <c r="C99" s="139"/>
      <c r="D99" s="139" t="s">
        <v>589</v>
      </c>
      <c r="E99" s="139"/>
      <c r="F99" s="139"/>
      <c r="G99" s="139"/>
    </row>
    <row r="100" spans="1:7" ht="21.75" customHeight="1">
      <c r="A100" s="139"/>
      <c r="B100" s="139"/>
      <c r="C100" s="139"/>
      <c r="D100" s="139" t="s">
        <v>590</v>
      </c>
      <c r="E100" s="139"/>
      <c r="F100" s="139"/>
      <c r="G100" s="139"/>
    </row>
    <row r="101" ht="21.75" customHeight="1"/>
  </sheetData>
  <sheetProtection/>
  <mergeCells count="24">
    <mergeCell ref="A93:B93"/>
    <mergeCell ref="C93:D93"/>
    <mergeCell ref="E93:F93"/>
    <mergeCell ref="A94:B94"/>
    <mergeCell ref="C94:D94"/>
    <mergeCell ref="E94:F94"/>
    <mergeCell ref="A55:F55"/>
    <mergeCell ref="A57:C57"/>
    <mergeCell ref="B73:C73"/>
    <mergeCell ref="A91:B91"/>
    <mergeCell ref="C91:D91"/>
    <mergeCell ref="E91:F91"/>
    <mergeCell ref="B22:C22"/>
    <mergeCell ref="A3:F3"/>
    <mergeCell ref="A5:C5"/>
    <mergeCell ref="A49:B49"/>
    <mergeCell ref="C49:D49"/>
    <mergeCell ref="E49:F49"/>
    <mergeCell ref="A50:B50"/>
    <mergeCell ref="C50:D50"/>
    <mergeCell ref="E50:F50"/>
    <mergeCell ref="A47:B47"/>
    <mergeCell ref="C47:D47"/>
    <mergeCell ref="E47:F47"/>
  </mergeCells>
  <printOptions/>
  <pageMargins left="0.31496062992125984" right="0.31496062992125984" top="0.15748031496062992" bottom="0.15748031496062992" header="0.31496062992125984" footer="0.31496062992125984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27"/>
  <sheetViews>
    <sheetView view="pageBreakPreview" zoomScaleSheetLayoutView="100" zoomScalePageLayoutView="0" workbookViewId="0" topLeftCell="A89">
      <selection activeCell="C93" sqref="C93"/>
    </sheetView>
  </sheetViews>
  <sheetFormatPr defaultColWidth="9.140625" defaultRowHeight="21" customHeight="1"/>
  <cols>
    <col min="1" max="1" width="11.8515625" style="1" customWidth="1"/>
    <col min="2" max="2" width="24.140625" style="1" customWidth="1"/>
    <col min="3" max="3" width="16.421875" style="1" customWidth="1"/>
    <col min="4" max="4" width="17.8515625" style="2" customWidth="1"/>
    <col min="5" max="5" width="17.140625" style="587" customWidth="1"/>
    <col min="6" max="6" width="17.28125" style="2" customWidth="1"/>
    <col min="7" max="7" width="16.8515625" style="2" customWidth="1"/>
    <col min="8" max="8" width="7.140625" style="159" customWidth="1"/>
    <col min="9" max="9" width="61.140625" style="1" customWidth="1"/>
    <col min="10" max="16384" width="9.140625" style="1" customWidth="1"/>
  </cols>
  <sheetData>
    <row r="1" spans="1:7" ht="21" customHeight="1">
      <c r="A1" s="254"/>
      <c r="B1" s="254"/>
      <c r="C1" s="240"/>
      <c r="D1" s="172"/>
      <c r="E1" s="172"/>
      <c r="F1" s="172"/>
      <c r="G1" s="172"/>
    </row>
    <row r="2" spans="6:7" ht="21" customHeight="1">
      <c r="F2" s="780" t="s">
        <v>620</v>
      </c>
      <c r="G2" s="780"/>
    </row>
    <row r="3" spans="5:7" ht="21" customHeight="1">
      <c r="E3" s="746" t="s">
        <v>724</v>
      </c>
      <c r="F3" s="746"/>
      <c r="G3" s="746"/>
    </row>
    <row r="4" spans="1:7" ht="21" customHeight="1">
      <c r="A4" s="744" t="s">
        <v>89</v>
      </c>
      <c r="B4" s="744"/>
      <c r="C4" s="744"/>
      <c r="D4" s="744"/>
      <c r="E4" s="744"/>
      <c r="F4" s="744"/>
      <c r="G4" s="744"/>
    </row>
    <row r="5" spans="1:4" ht="21" customHeight="1" thickBot="1">
      <c r="A5" s="174" t="s">
        <v>121</v>
      </c>
      <c r="B5" s="174"/>
      <c r="C5" s="174"/>
      <c r="D5" s="223"/>
    </row>
    <row r="6" spans="1:7" ht="21" customHeight="1" thickBot="1">
      <c r="A6" s="769" t="s">
        <v>52</v>
      </c>
      <c r="B6" s="781"/>
      <c r="C6" s="781"/>
      <c r="D6" s="782"/>
      <c r="E6" s="588" t="s">
        <v>47</v>
      </c>
      <c r="F6" s="225" t="s">
        <v>9</v>
      </c>
      <c r="G6" s="226" t="s">
        <v>10</v>
      </c>
    </row>
    <row r="7" spans="1:7" ht="21" customHeight="1">
      <c r="A7" s="185" t="s">
        <v>45</v>
      </c>
      <c r="B7" s="186"/>
      <c r="C7" s="186"/>
      <c r="D7" s="186"/>
      <c r="E7" s="589" t="s">
        <v>242</v>
      </c>
      <c r="F7" s="227">
        <f>F18+F19</f>
        <v>466900</v>
      </c>
      <c r="G7" s="228"/>
    </row>
    <row r="8" spans="1:7" ht="21" customHeight="1">
      <c r="A8" s="185"/>
      <c r="B8" s="186" t="s">
        <v>360</v>
      </c>
      <c r="C8" s="186"/>
      <c r="E8" s="590" t="s">
        <v>247</v>
      </c>
      <c r="F8" s="230"/>
      <c r="G8" s="231">
        <f>SUM(F7:F7)</f>
        <v>466900</v>
      </c>
    </row>
    <row r="9" spans="1:7" ht="21" customHeight="1">
      <c r="A9" s="232"/>
      <c r="B9" s="233"/>
      <c r="C9" s="233"/>
      <c r="D9" s="233"/>
      <c r="E9" s="590"/>
      <c r="F9" s="230"/>
      <c r="G9" s="231"/>
    </row>
    <row r="10" spans="1:7" ht="21" customHeight="1">
      <c r="A10" s="232"/>
      <c r="B10" s="233"/>
      <c r="C10" s="233"/>
      <c r="D10" s="233"/>
      <c r="E10" s="590"/>
      <c r="F10" s="230"/>
      <c r="G10" s="231"/>
    </row>
    <row r="11" spans="1:7" ht="21" customHeight="1">
      <c r="A11" s="232"/>
      <c r="B11" s="233"/>
      <c r="C11" s="233"/>
      <c r="D11" s="233"/>
      <c r="E11" s="590"/>
      <c r="F11" s="230"/>
      <c r="G11" s="231"/>
    </row>
    <row r="12" spans="1:7" ht="21" customHeight="1">
      <c r="A12" s="232"/>
      <c r="B12" s="233"/>
      <c r="C12" s="233"/>
      <c r="D12" s="233"/>
      <c r="E12" s="590"/>
      <c r="F12" s="230"/>
      <c r="G12" s="231"/>
    </row>
    <row r="13" spans="1:7" ht="21" customHeight="1">
      <c r="A13" s="232"/>
      <c r="B13" s="233"/>
      <c r="C13" s="233"/>
      <c r="D13" s="233"/>
      <c r="E13" s="590"/>
      <c r="F13" s="234"/>
      <c r="G13" s="231"/>
    </row>
    <row r="14" spans="1:7" ht="21" customHeight="1">
      <c r="A14" s="232"/>
      <c r="B14" s="233"/>
      <c r="C14" s="233"/>
      <c r="D14" s="233"/>
      <c r="E14" s="590"/>
      <c r="F14" s="234"/>
      <c r="G14" s="231"/>
    </row>
    <row r="15" spans="1:7" ht="21" customHeight="1" thickBot="1">
      <c r="A15" s="235"/>
      <c r="B15" s="236"/>
      <c r="C15" s="236"/>
      <c r="D15" s="237"/>
      <c r="E15" s="591"/>
      <c r="F15" s="238">
        <f>SUM(F7:F8)</f>
        <v>466900</v>
      </c>
      <c r="G15" s="239">
        <f>SUM(G8:G8)</f>
        <v>466900</v>
      </c>
    </row>
    <row r="16" spans="1:7" ht="21" customHeight="1" thickTop="1">
      <c r="A16" s="217" t="s">
        <v>90</v>
      </c>
      <c r="B16" s="240" t="s">
        <v>693</v>
      </c>
      <c r="C16" s="241"/>
      <c r="D16" s="242"/>
      <c r="E16" s="532"/>
      <c r="F16" s="552"/>
      <c r="G16" s="686"/>
    </row>
    <row r="17" spans="1:7" ht="21" customHeight="1">
      <c r="A17" s="244"/>
      <c r="B17" s="240"/>
      <c r="C17" s="241"/>
      <c r="D17" s="242"/>
      <c r="E17" s="532"/>
      <c r="F17" s="171"/>
      <c r="G17" s="683"/>
    </row>
    <row r="18" spans="1:7" ht="21" customHeight="1">
      <c r="A18" s="245">
        <v>1</v>
      </c>
      <c r="B18" s="788" t="s">
        <v>725</v>
      </c>
      <c r="C18" s="788"/>
      <c r="D18" s="788"/>
      <c r="E18" s="170" t="s">
        <v>46</v>
      </c>
      <c r="F18" s="532">
        <v>372500</v>
      </c>
      <c r="G18" s="683" t="s">
        <v>30</v>
      </c>
    </row>
    <row r="19" spans="1:7" ht="21" customHeight="1">
      <c r="A19" s="245">
        <v>2</v>
      </c>
      <c r="B19" s="788" t="s">
        <v>726</v>
      </c>
      <c r="C19" s="788"/>
      <c r="D19" s="788"/>
      <c r="E19" s="532"/>
      <c r="F19" s="171">
        <v>94400</v>
      </c>
      <c r="G19" s="683" t="s">
        <v>30</v>
      </c>
    </row>
    <row r="20" spans="1:7" ht="21" customHeight="1">
      <c r="A20" s="245"/>
      <c r="B20" s="788"/>
      <c r="C20" s="788"/>
      <c r="D20" s="788"/>
      <c r="E20" s="532"/>
      <c r="F20" s="171"/>
      <c r="G20" s="683"/>
    </row>
    <row r="21" spans="1:7" ht="21" customHeight="1">
      <c r="A21" s="245"/>
      <c r="B21" s="529"/>
      <c r="C21" s="247"/>
      <c r="E21" s="170"/>
      <c r="F21" s="532"/>
      <c r="G21" s="683"/>
    </row>
    <row r="22" spans="1:7" ht="21" customHeight="1">
      <c r="A22" s="245"/>
      <c r="B22" s="791"/>
      <c r="C22" s="791"/>
      <c r="D22" s="791"/>
      <c r="E22" s="170"/>
      <c r="F22" s="537"/>
      <c r="G22" s="683"/>
    </row>
    <row r="23" spans="1:7" ht="21" customHeight="1">
      <c r="A23" s="245"/>
      <c r="B23" s="685"/>
      <c r="C23" s="255" t="s">
        <v>70</v>
      </c>
      <c r="D23" s="219"/>
      <c r="E23" s="680">
        <f>SUM(F18:F22)</f>
        <v>466900</v>
      </c>
      <c r="F23" s="171"/>
      <c r="G23" s="683"/>
    </row>
    <row r="24" spans="1:7" ht="21" customHeight="1">
      <c r="A24" s="753" t="s">
        <v>34</v>
      </c>
      <c r="B24" s="754"/>
      <c r="C24" s="783" t="s">
        <v>569</v>
      </c>
      <c r="D24" s="784"/>
      <c r="E24" s="785"/>
      <c r="F24" s="786" t="s">
        <v>570</v>
      </c>
      <c r="G24" s="787"/>
    </row>
    <row r="25" spans="1:7" ht="21" customHeight="1">
      <c r="A25" s="676"/>
      <c r="B25" s="678"/>
      <c r="C25" s="422"/>
      <c r="D25" s="256"/>
      <c r="E25" s="647"/>
      <c r="F25" s="682"/>
      <c r="G25" s="683"/>
    </row>
    <row r="26" spans="1:7" ht="21" customHeight="1">
      <c r="A26" s="676"/>
      <c r="B26" s="678"/>
      <c r="C26" s="422"/>
      <c r="D26" s="171"/>
      <c r="E26" s="681"/>
      <c r="F26" s="422"/>
      <c r="G26" s="683"/>
    </row>
    <row r="27" spans="1:7" ht="21" customHeight="1">
      <c r="A27" s="756" t="s">
        <v>571</v>
      </c>
      <c r="B27" s="757"/>
      <c r="C27" s="771" t="s">
        <v>703</v>
      </c>
      <c r="D27" s="776"/>
      <c r="E27" s="772"/>
      <c r="F27" s="771" t="s">
        <v>571</v>
      </c>
      <c r="G27" s="772"/>
    </row>
    <row r="28" spans="1:7" ht="21" customHeight="1">
      <c r="A28" s="758" t="s">
        <v>572</v>
      </c>
      <c r="B28" s="759"/>
      <c r="C28" s="777" t="s">
        <v>704</v>
      </c>
      <c r="D28" s="778"/>
      <c r="E28" s="779"/>
      <c r="F28" s="773" t="s">
        <v>572</v>
      </c>
      <c r="G28" s="774"/>
    </row>
    <row r="43" spans="1:7" ht="21" customHeight="1">
      <c r="A43" s="254"/>
      <c r="B43" s="254"/>
      <c r="C43" s="240"/>
      <c r="D43" s="172"/>
      <c r="E43" s="172"/>
      <c r="F43" s="172"/>
      <c r="G43" s="172"/>
    </row>
    <row r="44" spans="6:7" ht="21" customHeight="1">
      <c r="F44" s="780" t="s">
        <v>618</v>
      </c>
      <c r="G44" s="780"/>
    </row>
    <row r="45" spans="5:7" ht="21" customHeight="1">
      <c r="E45" s="746" t="s">
        <v>727</v>
      </c>
      <c r="F45" s="746"/>
      <c r="G45" s="746"/>
    </row>
    <row r="46" spans="1:7" ht="21" customHeight="1">
      <c r="A46" s="744" t="s">
        <v>89</v>
      </c>
      <c r="B46" s="744"/>
      <c r="C46" s="744"/>
      <c r="D46" s="744"/>
      <c r="E46" s="744"/>
      <c r="F46" s="744"/>
      <c r="G46" s="744"/>
    </row>
    <row r="47" spans="1:4" ht="21" customHeight="1" thickBot="1">
      <c r="A47" s="174" t="s">
        <v>121</v>
      </c>
      <c r="B47" s="174"/>
      <c r="C47" s="174"/>
      <c r="D47" s="223"/>
    </row>
    <row r="48" spans="1:7" ht="21" customHeight="1" thickBot="1">
      <c r="A48" s="769" t="s">
        <v>52</v>
      </c>
      <c r="B48" s="781"/>
      <c r="C48" s="781"/>
      <c r="D48" s="782"/>
      <c r="E48" s="588" t="s">
        <v>47</v>
      </c>
      <c r="F48" s="225" t="s">
        <v>9</v>
      </c>
      <c r="G48" s="226" t="s">
        <v>10</v>
      </c>
    </row>
    <row r="49" spans="1:7" ht="21" customHeight="1">
      <c r="A49" s="185" t="s">
        <v>109</v>
      </c>
      <c r="B49" s="186"/>
      <c r="C49" s="186"/>
      <c r="D49" s="186"/>
      <c r="E49" s="589" t="s">
        <v>242</v>
      </c>
      <c r="F49" s="227">
        <f>E79</f>
        <v>5057350.7</v>
      </c>
      <c r="G49" s="228"/>
    </row>
    <row r="50" spans="1:7" ht="21" customHeight="1">
      <c r="A50" s="185"/>
      <c r="B50" s="186" t="s">
        <v>110</v>
      </c>
      <c r="C50" s="186"/>
      <c r="E50" s="590" t="s">
        <v>241</v>
      </c>
      <c r="F50" s="230"/>
      <c r="G50" s="231">
        <f>E79</f>
        <v>5057350.7</v>
      </c>
    </row>
    <row r="51" spans="1:7" ht="21" customHeight="1">
      <c r="A51" s="232"/>
      <c r="B51" s="233"/>
      <c r="C51" s="233"/>
      <c r="D51" s="233"/>
      <c r="E51" s="590"/>
      <c r="F51" s="230"/>
      <c r="G51" s="231"/>
    </row>
    <row r="52" spans="1:7" ht="21" customHeight="1">
      <c r="A52" s="232"/>
      <c r="B52" s="233"/>
      <c r="C52" s="233"/>
      <c r="D52" s="233"/>
      <c r="E52" s="590"/>
      <c r="F52" s="230"/>
      <c r="G52" s="231"/>
    </row>
    <row r="53" spans="1:7" ht="21" customHeight="1">
      <c r="A53" s="232"/>
      <c r="B53" s="233"/>
      <c r="C53" s="233"/>
      <c r="D53" s="233"/>
      <c r="E53" s="590"/>
      <c r="F53" s="234"/>
      <c r="G53" s="231"/>
    </row>
    <row r="54" spans="1:7" ht="21" customHeight="1" thickBot="1">
      <c r="A54" s="235"/>
      <c r="B54" s="236"/>
      <c r="C54" s="236"/>
      <c r="D54" s="237"/>
      <c r="E54" s="591"/>
      <c r="F54" s="238">
        <f>SUM(F49:F50)</f>
        <v>5057350.7</v>
      </c>
      <c r="G54" s="239">
        <f>SUM(G50:G50)</f>
        <v>5057350.7</v>
      </c>
    </row>
    <row r="55" spans="1:7" ht="21" customHeight="1" thickTop="1">
      <c r="A55" s="217" t="s">
        <v>90</v>
      </c>
      <c r="B55" s="240" t="s">
        <v>124</v>
      </c>
      <c r="C55" s="241"/>
      <c r="D55" s="242"/>
      <c r="E55" s="532"/>
      <c r="F55" s="171"/>
      <c r="G55" s="686"/>
    </row>
    <row r="56" spans="1:7" ht="21" customHeight="1">
      <c r="A56" s="244"/>
      <c r="B56" s="240" t="s">
        <v>171</v>
      </c>
      <c r="C56" s="241"/>
      <c r="D56" s="242"/>
      <c r="E56" s="532"/>
      <c r="F56" s="171"/>
      <c r="G56" s="683"/>
    </row>
    <row r="57" spans="1:7" ht="21" customHeight="1">
      <c r="A57" s="245">
        <v>1</v>
      </c>
      <c r="B57" s="240" t="s">
        <v>729</v>
      </c>
      <c r="C57" s="730"/>
      <c r="D57" s="246"/>
      <c r="E57" s="170" t="s">
        <v>46</v>
      </c>
      <c r="F57" s="532">
        <v>311280</v>
      </c>
      <c r="G57" s="683" t="s">
        <v>30</v>
      </c>
    </row>
    <row r="58" spans="1:7" ht="21" customHeight="1">
      <c r="A58" s="245">
        <v>2</v>
      </c>
      <c r="B58" s="529" t="s">
        <v>690</v>
      </c>
      <c r="C58" s="729" t="s">
        <v>708</v>
      </c>
      <c r="D58" s="246"/>
      <c r="E58" s="170" t="s">
        <v>46</v>
      </c>
      <c r="F58" s="537">
        <v>109517.55</v>
      </c>
      <c r="G58" s="683" t="s">
        <v>30</v>
      </c>
    </row>
    <row r="59" spans="1:7" ht="21" customHeight="1">
      <c r="A59" s="245">
        <v>3</v>
      </c>
      <c r="B59" s="529" t="s">
        <v>416</v>
      </c>
      <c r="C59" s="246"/>
      <c r="D59" s="246"/>
      <c r="E59" s="170" t="s">
        <v>46</v>
      </c>
      <c r="F59" s="532">
        <v>62217.62</v>
      </c>
      <c r="G59" s="683" t="s">
        <v>30</v>
      </c>
    </row>
    <row r="60" spans="1:7" ht="21" customHeight="1">
      <c r="A60" s="245">
        <v>4</v>
      </c>
      <c r="B60" s="540" t="s">
        <v>417</v>
      </c>
      <c r="C60" s="246"/>
      <c r="D60" s="246"/>
      <c r="E60" s="170" t="s">
        <v>46</v>
      </c>
      <c r="F60" s="532">
        <v>163260.39</v>
      </c>
      <c r="G60" s="683" t="s">
        <v>30</v>
      </c>
    </row>
    <row r="61" spans="1:7" ht="21" customHeight="1">
      <c r="A61" s="245">
        <v>5</v>
      </c>
      <c r="B61" s="240" t="s">
        <v>691</v>
      </c>
      <c r="C61" s="246"/>
      <c r="D61" s="246"/>
      <c r="E61" s="170" t="s">
        <v>46</v>
      </c>
      <c r="F61" s="537">
        <v>81891.85</v>
      </c>
      <c r="G61" s="683" t="s">
        <v>30</v>
      </c>
    </row>
    <row r="62" spans="1:7" ht="21" customHeight="1">
      <c r="A62" s="245">
        <v>6</v>
      </c>
      <c r="B62" s="529" t="s">
        <v>732</v>
      </c>
      <c r="C62" s="246"/>
      <c r="D62" s="246"/>
      <c r="E62" s="170" t="s">
        <v>46</v>
      </c>
      <c r="F62" s="537">
        <v>6237.9</v>
      </c>
      <c r="G62" s="683" t="s">
        <v>30</v>
      </c>
    </row>
    <row r="63" spans="1:7" ht="21" customHeight="1">
      <c r="A63" s="245">
        <v>7</v>
      </c>
      <c r="B63" s="788" t="s">
        <v>687</v>
      </c>
      <c r="C63" s="788"/>
      <c r="D63" s="788"/>
      <c r="E63" s="170" t="s">
        <v>46</v>
      </c>
      <c r="F63" s="537">
        <v>1389415.21</v>
      </c>
      <c r="G63" s="683" t="s">
        <v>30</v>
      </c>
    </row>
    <row r="64" spans="1:7" ht="21" customHeight="1">
      <c r="A64" s="245"/>
      <c r="B64" s="246" t="s">
        <v>728</v>
      </c>
      <c r="C64" s="246"/>
      <c r="D64" s="246"/>
      <c r="E64" s="170" t="s">
        <v>46</v>
      </c>
      <c r="F64" s="537"/>
      <c r="G64" s="683" t="s">
        <v>30</v>
      </c>
    </row>
    <row r="65" spans="1:7" ht="21" customHeight="1">
      <c r="A65" s="245">
        <v>8</v>
      </c>
      <c r="B65" s="159" t="s">
        <v>399</v>
      </c>
      <c r="C65" s="730"/>
      <c r="D65" s="730"/>
      <c r="E65" s="170" t="s">
        <v>46</v>
      </c>
      <c r="F65" s="537">
        <v>6868.18</v>
      </c>
      <c r="G65" s="683" t="s">
        <v>30</v>
      </c>
    </row>
    <row r="66" spans="1:7" ht="21" customHeight="1">
      <c r="A66" s="245">
        <v>9</v>
      </c>
      <c r="B66" s="159" t="s">
        <v>730</v>
      </c>
      <c r="E66" s="170" t="s">
        <v>46</v>
      </c>
      <c r="F66" s="2">
        <v>10450</v>
      </c>
      <c r="G66" s="683" t="s">
        <v>30</v>
      </c>
    </row>
    <row r="67" spans="1:7" ht="21" customHeight="1">
      <c r="A67" s="245">
        <v>10</v>
      </c>
      <c r="B67" s="1" t="s">
        <v>731</v>
      </c>
      <c r="E67" s="170" t="s">
        <v>46</v>
      </c>
      <c r="F67" s="537">
        <v>12000</v>
      </c>
      <c r="G67" s="683" t="s">
        <v>30</v>
      </c>
    </row>
    <row r="68" spans="1:7" ht="21" customHeight="1">
      <c r="A68" s="245">
        <v>11</v>
      </c>
      <c r="B68" s="788" t="s">
        <v>733</v>
      </c>
      <c r="C68" s="788"/>
      <c r="D68" s="540"/>
      <c r="E68" s="170" t="s">
        <v>46</v>
      </c>
      <c r="F68" s="537">
        <v>1144400</v>
      </c>
      <c r="G68" s="683" t="s">
        <v>30</v>
      </c>
    </row>
    <row r="69" spans="1:7" ht="21" customHeight="1">
      <c r="A69" s="245">
        <v>12</v>
      </c>
      <c r="B69" s="788" t="s">
        <v>734</v>
      </c>
      <c r="C69" s="788"/>
      <c r="D69" s="540"/>
      <c r="E69" s="170" t="s">
        <v>46</v>
      </c>
      <c r="F69" s="537">
        <v>213600</v>
      </c>
      <c r="G69" s="683" t="s">
        <v>30</v>
      </c>
    </row>
    <row r="70" spans="1:7" ht="21" customHeight="1">
      <c r="A70" s="245">
        <v>13</v>
      </c>
      <c r="B70" s="719" t="s">
        <v>735</v>
      </c>
      <c r="E70" s="170" t="s">
        <v>46</v>
      </c>
      <c r="F70" s="537">
        <v>30500</v>
      </c>
      <c r="G70" s="683" t="s">
        <v>30</v>
      </c>
    </row>
    <row r="71" spans="1:7" ht="21" customHeight="1">
      <c r="A71" s="245">
        <v>14</v>
      </c>
      <c r="B71" s="1" t="s">
        <v>736</v>
      </c>
      <c r="E71" s="170" t="s">
        <v>46</v>
      </c>
      <c r="F71" s="537">
        <v>14371</v>
      </c>
      <c r="G71" s="683" t="s">
        <v>30</v>
      </c>
    </row>
    <row r="72" spans="1:7" ht="21" customHeight="1">
      <c r="A72" s="245">
        <v>15</v>
      </c>
      <c r="B72" s="1" t="s">
        <v>737</v>
      </c>
      <c r="C72" s="246"/>
      <c r="D72" s="246"/>
      <c r="E72" s="170" t="s">
        <v>46</v>
      </c>
      <c r="F72" s="537">
        <v>36000</v>
      </c>
      <c r="G72" s="683" t="s">
        <v>30</v>
      </c>
    </row>
    <row r="73" spans="1:7" ht="21" customHeight="1">
      <c r="A73" s="245">
        <v>16</v>
      </c>
      <c r="B73" s="1" t="s">
        <v>738</v>
      </c>
      <c r="E73" s="170" t="s">
        <v>46</v>
      </c>
      <c r="F73" s="537">
        <v>357861</v>
      </c>
      <c r="G73" s="683" t="s">
        <v>30</v>
      </c>
    </row>
    <row r="74" spans="1:7" ht="21" customHeight="1">
      <c r="A74" s="245">
        <v>17</v>
      </c>
      <c r="B74" s="159" t="s">
        <v>739</v>
      </c>
      <c r="C74" s="159"/>
      <c r="D74" s="159"/>
      <c r="E74" s="170" t="s">
        <v>46</v>
      </c>
      <c r="F74" s="537">
        <v>757480</v>
      </c>
      <c r="G74" s="683" t="s">
        <v>30</v>
      </c>
    </row>
    <row r="75" spans="1:7" ht="21" customHeight="1">
      <c r="A75" s="245">
        <v>18</v>
      </c>
      <c r="B75" s="246" t="s">
        <v>740</v>
      </c>
      <c r="C75" s="246"/>
      <c r="D75" s="246"/>
      <c r="E75" s="170" t="s">
        <v>46</v>
      </c>
      <c r="F75" s="537">
        <v>350000</v>
      </c>
      <c r="G75" s="683" t="s">
        <v>30</v>
      </c>
    </row>
    <row r="76" spans="1:7" ht="21" customHeight="1">
      <c r="A76" s="245"/>
      <c r="B76" s="719"/>
      <c r="D76" s="1"/>
      <c r="E76" s="170"/>
      <c r="G76" s="683"/>
    </row>
    <row r="77" spans="1:7" ht="21" customHeight="1">
      <c r="A77" s="245"/>
      <c r="B77" s="540"/>
      <c r="C77" s="540"/>
      <c r="D77" s="540"/>
      <c r="E77" s="170"/>
      <c r="F77" s="537"/>
      <c r="G77" s="683"/>
    </row>
    <row r="78" spans="1:7" ht="21" customHeight="1">
      <c r="A78" s="245"/>
      <c r="B78" s="540"/>
      <c r="C78" s="540"/>
      <c r="D78" s="540"/>
      <c r="E78" s="170"/>
      <c r="F78" s="537"/>
      <c r="G78" s="683"/>
    </row>
    <row r="79" spans="1:7" ht="21" customHeight="1">
      <c r="A79" s="245"/>
      <c r="B79" s="246"/>
      <c r="C79" s="255" t="s">
        <v>70</v>
      </c>
      <c r="D79" s="219"/>
      <c r="E79" s="680">
        <f>SUM(F57:F78)</f>
        <v>5057350.7</v>
      </c>
      <c r="F79" s="171"/>
      <c r="G79" s="684"/>
    </row>
    <row r="80" spans="1:7" ht="21" customHeight="1">
      <c r="A80" s="753" t="s">
        <v>34</v>
      </c>
      <c r="B80" s="754"/>
      <c r="C80" s="783" t="s">
        <v>569</v>
      </c>
      <c r="D80" s="784"/>
      <c r="E80" s="785"/>
      <c r="F80" s="786" t="s">
        <v>570</v>
      </c>
      <c r="G80" s="787"/>
    </row>
    <row r="81" spans="1:7" ht="21" customHeight="1">
      <c r="A81" s="676"/>
      <c r="B81" s="678"/>
      <c r="C81" s="422"/>
      <c r="D81" s="256"/>
      <c r="E81" s="647"/>
      <c r="F81" s="682"/>
      <c r="G81" s="683"/>
    </row>
    <row r="82" spans="1:7" ht="21" customHeight="1">
      <c r="A82" s="676"/>
      <c r="B82" s="678"/>
      <c r="C82" s="422"/>
      <c r="D82" s="171"/>
      <c r="E82" s="681"/>
      <c r="F82" s="422"/>
      <c r="G82" s="683"/>
    </row>
    <row r="83" spans="1:7" ht="21" customHeight="1">
      <c r="A83" s="756" t="s">
        <v>571</v>
      </c>
      <c r="B83" s="757"/>
      <c r="C83" s="771" t="s">
        <v>703</v>
      </c>
      <c r="D83" s="776"/>
      <c r="E83" s="772"/>
      <c r="F83" s="771" t="s">
        <v>571</v>
      </c>
      <c r="G83" s="772"/>
    </row>
    <row r="84" spans="1:7" ht="21" customHeight="1">
      <c r="A84" s="758" t="s">
        <v>572</v>
      </c>
      <c r="B84" s="759"/>
      <c r="C84" s="777" t="s">
        <v>704</v>
      </c>
      <c r="D84" s="778"/>
      <c r="E84" s="779"/>
      <c r="F84" s="773" t="s">
        <v>572</v>
      </c>
      <c r="G84" s="774"/>
    </row>
    <row r="86" spans="6:7" ht="21" customHeight="1">
      <c r="F86" s="780" t="s">
        <v>620</v>
      </c>
      <c r="G86" s="780"/>
    </row>
    <row r="87" spans="5:7" ht="21" customHeight="1">
      <c r="E87" s="746" t="s">
        <v>741</v>
      </c>
      <c r="F87" s="746"/>
      <c r="G87" s="746"/>
    </row>
    <row r="88" spans="1:7" ht="21" customHeight="1">
      <c r="A88" s="744" t="s">
        <v>89</v>
      </c>
      <c r="B88" s="744"/>
      <c r="C88" s="744"/>
      <c r="D88" s="744"/>
      <c r="E88" s="744"/>
      <c r="F88" s="744"/>
      <c r="G88" s="744"/>
    </row>
    <row r="89" spans="1:4" ht="21" customHeight="1" thickBot="1">
      <c r="A89" s="174" t="s">
        <v>121</v>
      </c>
      <c r="B89" s="174"/>
      <c r="C89" s="174"/>
      <c r="D89" s="223"/>
    </row>
    <row r="90" spans="1:7" ht="21" customHeight="1" thickBot="1">
      <c r="A90" s="769" t="s">
        <v>52</v>
      </c>
      <c r="B90" s="781"/>
      <c r="C90" s="781"/>
      <c r="D90" s="782"/>
      <c r="E90" s="588" t="s">
        <v>47</v>
      </c>
      <c r="F90" s="225" t="s">
        <v>9</v>
      </c>
      <c r="G90" s="226" t="s">
        <v>10</v>
      </c>
    </row>
    <row r="91" spans="1:7" ht="21" customHeight="1">
      <c r="A91" s="185" t="s">
        <v>742</v>
      </c>
      <c r="B91" s="186"/>
      <c r="C91" s="186"/>
      <c r="D91" s="186"/>
      <c r="E91" s="589" t="s">
        <v>242</v>
      </c>
      <c r="F91" s="227">
        <v>188.1</v>
      </c>
      <c r="G91" s="228"/>
    </row>
    <row r="92" spans="1:7" ht="21" customHeight="1">
      <c r="A92" s="185"/>
      <c r="B92" s="186" t="s">
        <v>1</v>
      </c>
      <c r="C92" s="186"/>
      <c r="E92" s="590" t="s">
        <v>247</v>
      </c>
      <c r="F92" s="230"/>
      <c r="G92" s="231">
        <v>188.1</v>
      </c>
    </row>
    <row r="93" spans="1:7" ht="21" customHeight="1">
      <c r="A93" s="232"/>
      <c r="B93" s="233"/>
      <c r="C93" s="233"/>
      <c r="D93" s="233"/>
      <c r="E93" s="590"/>
      <c r="F93" s="230"/>
      <c r="G93" s="231"/>
    </row>
    <row r="94" spans="1:7" ht="21" customHeight="1">
      <c r="A94" s="232"/>
      <c r="B94" s="233"/>
      <c r="C94" s="233"/>
      <c r="D94" s="233"/>
      <c r="E94" s="590"/>
      <c r="F94" s="230"/>
      <c r="G94" s="231"/>
    </row>
    <row r="95" spans="1:7" ht="21" customHeight="1">
      <c r="A95" s="232"/>
      <c r="B95" s="233"/>
      <c r="C95" s="233"/>
      <c r="D95" s="233"/>
      <c r="E95" s="590"/>
      <c r="F95" s="230"/>
      <c r="G95" s="231"/>
    </row>
    <row r="96" spans="1:7" ht="21" customHeight="1">
      <c r="A96" s="232"/>
      <c r="B96" s="233"/>
      <c r="C96" s="233"/>
      <c r="D96" s="233"/>
      <c r="E96" s="590"/>
      <c r="F96" s="230"/>
      <c r="G96" s="231"/>
    </row>
    <row r="97" spans="1:7" ht="21" customHeight="1">
      <c r="A97" s="232"/>
      <c r="B97" s="233"/>
      <c r="C97" s="233"/>
      <c r="D97" s="233"/>
      <c r="E97" s="590"/>
      <c r="F97" s="234"/>
      <c r="G97" s="231"/>
    </row>
    <row r="98" spans="1:7" ht="21" customHeight="1">
      <c r="A98" s="232"/>
      <c r="B98" s="233"/>
      <c r="C98" s="233"/>
      <c r="D98" s="233"/>
      <c r="E98" s="590"/>
      <c r="F98" s="234"/>
      <c r="G98" s="231"/>
    </row>
    <row r="99" spans="1:7" ht="21" customHeight="1" thickBot="1">
      <c r="A99" s="235"/>
      <c r="B99" s="236"/>
      <c r="C99" s="236"/>
      <c r="D99" s="237"/>
      <c r="E99" s="591"/>
      <c r="F99" s="238">
        <f>SUM(F91:F92)</f>
        <v>188.1</v>
      </c>
      <c r="G99" s="239">
        <f>SUM(G92:G92)</f>
        <v>188.1</v>
      </c>
    </row>
    <row r="100" spans="1:7" ht="21" customHeight="1" thickTop="1">
      <c r="A100" s="217" t="s">
        <v>90</v>
      </c>
      <c r="B100" s="240" t="s">
        <v>743</v>
      </c>
      <c r="C100" s="241"/>
      <c r="D100" s="242"/>
      <c r="E100" s="532"/>
      <c r="F100" s="552"/>
      <c r="G100" s="686"/>
    </row>
    <row r="101" spans="1:7" ht="21" customHeight="1">
      <c r="A101" s="158"/>
      <c r="B101" s="240"/>
      <c r="C101" s="241"/>
      <c r="D101" s="242"/>
      <c r="E101" s="532"/>
      <c r="F101" s="171"/>
      <c r="G101" s="683"/>
    </row>
    <row r="102" spans="1:7" ht="21" customHeight="1">
      <c r="A102" s="245"/>
      <c r="B102" s="240"/>
      <c r="C102" s="241"/>
      <c r="D102" s="242"/>
      <c r="E102" s="532"/>
      <c r="F102" s="532"/>
      <c r="G102" s="683"/>
    </row>
    <row r="103" spans="1:7" ht="21" customHeight="1">
      <c r="A103" s="245"/>
      <c r="B103" s="240"/>
      <c r="C103" s="241"/>
      <c r="D103" s="242"/>
      <c r="E103" s="170"/>
      <c r="F103" s="532"/>
      <c r="G103" s="683"/>
    </row>
    <row r="104" spans="1:7" ht="21" customHeight="1">
      <c r="A104" s="245"/>
      <c r="B104" s="240"/>
      <c r="C104" s="241"/>
      <c r="D104" s="242"/>
      <c r="E104" s="170"/>
      <c r="F104" s="532"/>
      <c r="G104" s="683"/>
    </row>
    <row r="105" spans="1:7" ht="21" customHeight="1">
      <c r="A105" s="245"/>
      <c r="B105" s="240"/>
      <c r="C105" s="241"/>
      <c r="D105" s="242"/>
      <c r="E105" s="170"/>
      <c r="F105" s="532"/>
      <c r="G105" s="683"/>
    </row>
    <row r="106" spans="1:7" ht="21" customHeight="1">
      <c r="A106" s="245"/>
      <c r="B106" s="240"/>
      <c r="C106" s="241"/>
      <c r="D106" s="242"/>
      <c r="E106" s="170"/>
      <c r="F106" s="537"/>
      <c r="G106" s="683"/>
    </row>
    <row r="107" spans="1:7" ht="21" customHeight="1">
      <c r="A107" s="245"/>
      <c r="B107" s="240"/>
      <c r="C107" s="241"/>
      <c r="D107" s="242"/>
      <c r="E107" s="170"/>
      <c r="F107" s="537"/>
      <c r="G107" s="683"/>
    </row>
    <row r="108" spans="1:7" ht="21" customHeight="1" thickBot="1">
      <c r="A108" s="251"/>
      <c r="B108" s="648"/>
      <c r="C108" s="255" t="s">
        <v>70</v>
      </c>
      <c r="D108" s="219"/>
      <c r="E108" s="680">
        <f>SUM(F101:F107)</f>
        <v>0</v>
      </c>
      <c r="F108" s="171"/>
      <c r="G108" s="683"/>
    </row>
    <row r="109" spans="1:7" ht="21" customHeight="1">
      <c r="A109" s="753" t="s">
        <v>34</v>
      </c>
      <c r="B109" s="754"/>
      <c r="C109" s="783" t="s">
        <v>569</v>
      </c>
      <c r="D109" s="784"/>
      <c r="E109" s="785"/>
      <c r="F109" s="786" t="s">
        <v>570</v>
      </c>
      <c r="G109" s="787"/>
    </row>
    <row r="110" spans="1:7" ht="21" customHeight="1">
      <c r="A110" s="676"/>
      <c r="B110" s="678"/>
      <c r="C110" s="422"/>
      <c r="D110" s="256"/>
      <c r="E110" s="647"/>
      <c r="F110" s="682"/>
      <c r="G110" s="683"/>
    </row>
    <row r="111" spans="1:7" ht="21" customHeight="1">
      <c r="A111" s="676"/>
      <c r="B111" s="678"/>
      <c r="C111" s="422"/>
      <c r="D111" s="171"/>
      <c r="E111" s="681"/>
      <c r="F111" s="422"/>
      <c r="G111" s="683"/>
    </row>
    <row r="112" spans="1:7" ht="21" customHeight="1">
      <c r="A112" s="756" t="s">
        <v>571</v>
      </c>
      <c r="B112" s="757"/>
      <c r="C112" s="771" t="s">
        <v>703</v>
      </c>
      <c r="D112" s="776"/>
      <c r="E112" s="772"/>
      <c r="F112" s="771" t="s">
        <v>571</v>
      </c>
      <c r="G112" s="772"/>
    </row>
    <row r="113" spans="1:7" ht="21" customHeight="1">
      <c r="A113" s="758" t="s">
        <v>572</v>
      </c>
      <c r="B113" s="759"/>
      <c r="C113" s="777" t="s">
        <v>704</v>
      </c>
      <c r="D113" s="778"/>
      <c r="E113" s="779"/>
      <c r="F113" s="773" t="s">
        <v>572</v>
      </c>
      <c r="G113" s="774"/>
    </row>
    <row r="127" spans="6:7" ht="21" customHeight="1">
      <c r="F127" s="780" t="s">
        <v>642</v>
      </c>
      <c r="G127" s="780"/>
    </row>
    <row r="128" spans="5:7" ht="21" customHeight="1">
      <c r="E128" s="746" t="s">
        <v>744</v>
      </c>
      <c r="F128" s="746"/>
      <c r="G128" s="746"/>
    </row>
    <row r="129" spans="1:7" ht="21" customHeight="1">
      <c r="A129" s="744" t="s">
        <v>89</v>
      </c>
      <c r="B129" s="744"/>
      <c r="C129" s="744"/>
      <c r="D129" s="744"/>
      <c r="E129" s="744"/>
      <c r="F129" s="744"/>
      <c r="G129" s="744"/>
    </row>
    <row r="130" spans="1:4" ht="21" customHeight="1" thickBot="1">
      <c r="A130" s="174" t="s">
        <v>121</v>
      </c>
      <c r="B130" s="174"/>
      <c r="C130" s="174"/>
      <c r="D130" s="223"/>
    </row>
    <row r="131" spans="1:7" ht="21" customHeight="1" thickBot="1">
      <c r="A131" s="769" t="s">
        <v>52</v>
      </c>
      <c r="B131" s="781"/>
      <c r="C131" s="781"/>
      <c r="D131" s="782"/>
      <c r="E131" s="588" t="s">
        <v>47</v>
      </c>
      <c r="F131" s="225" t="s">
        <v>9</v>
      </c>
      <c r="G131" s="226" t="s">
        <v>10</v>
      </c>
    </row>
    <row r="132" spans="1:7" ht="21" customHeight="1">
      <c r="A132" s="186" t="s">
        <v>1</v>
      </c>
      <c r="B132" s="186"/>
      <c r="C132" s="186"/>
      <c r="D132" s="186"/>
      <c r="E132" s="589"/>
      <c r="F132" s="227">
        <v>61800</v>
      </c>
      <c r="G132" s="228"/>
    </row>
    <row r="133" spans="1:7" ht="21" customHeight="1">
      <c r="A133" s="185"/>
      <c r="B133" s="186" t="s">
        <v>360</v>
      </c>
      <c r="C133" s="186"/>
      <c r="E133" s="590"/>
      <c r="F133" s="230"/>
      <c r="G133" s="231">
        <f>SUM(F132:F132)</f>
        <v>61800</v>
      </c>
    </row>
    <row r="134" spans="1:7" ht="21" customHeight="1">
      <c r="A134" s="232"/>
      <c r="C134" s="233"/>
      <c r="D134" s="233"/>
      <c r="E134" s="590"/>
      <c r="F134" s="230"/>
      <c r="G134" s="231"/>
    </row>
    <row r="135" spans="1:7" ht="21" customHeight="1">
      <c r="A135" s="232"/>
      <c r="B135" s="233"/>
      <c r="C135" s="233"/>
      <c r="D135" s="233"/>
      <c r="E135" s="590"/>
      <c r="F135" s="230"/>
      <c r="G135" s="231"/>
    </row>
    <row r="136" spans="1:7" ht="21" customHeight="1">
      <c r="A136" s="232"/>
      <c r="B136" s="233"/>
      <c r="C136" s="233"/>
      <c r="D136" s="233"/>
      <c r="E136" s="590"/>
      <c r="F136" s="230"/>
      <c r="G136" s="231"/>
    </row>
    <row r="137" spans="1:7" ht="21" customHeight="1">
      <c r="A137" s="232"/>
      <c r="B137" s="233"/>
      <c r="C137" s="233"/>
      <c r="D137" s="233"/>
      <c r="E137" s="590"/>
      <c r="F137" s="230"/>
      <c r="G137" s="231"/>
    </row>
    <row r="138" spans="1:7" ht="21" customHeight="1">
      <c r="A138" s="232"/>
      <c r="B138" s="233"/>
      <c r="C138" s="233"/>
      <c r="D138" s="233"/>
      <c r="E138" s="590"/>
      <c r="F138" s="234"/>
      <c r="G138" s="231"/>
    </row>
    <row r="139" spans="1:7" ht="21" customHeight="1">
      <c r="A139" s="232"/>
      <c r="B139" s="233"/>
      <c r="C139" s="233"/>
      <c r="D139" s="233"/>
      <c r="E139" s="590"/>
      <c r="F139" s="234"/>
      <c r="G139" s="231"/>
    </row>
    <row r="140" spans="1:7" ht="21.75" customHeight="1" thickBot="1">
      <c r="A140" s="235"/>
      <c r="B140" s="236"/>
      <c r="C140" s="236"/>
      <c r="D140" s="237"/>
      <c r="E140" s="591"/>
      <c r="F140" s="238">
        <f>SUM(F132:F133)</f>
        <v>61800</v>
      </c>
      <c r="G140" s="239">
        <f>SUM(G133:G133)</f>
        <v>61800</v>
      </c>
    </row>
    <row r="141" spans="1:7" ht="19.5" customHeight="1" thickTop="1">
      <c r="A141" s="217" t="s">
        <v>90</v>
      </c>
      <c r="B141" s="240" t="s">
        <v>745</v>
      </c>
      <c r="C141" s="241"/>
      <c r="D141" s="242"/>
      <c r="E141" s="532"/>
      <c r="F141" s="171"/>
      <c r="G141" s="550"/>
    </row>
    <row r="142" spans="1:7" ht="19.5" customHeight="1">
      <c r="A142" s="244"/>
      <c r="B142" s="240"/>
      <c r="C142" s="241"/>
      <c r="D142" s="242"/>
      <c r="E142" s="532"/>
      <c r="F142" s="171"/>
      <c r="G142" s="243"/>
    </row>
    <row r="143" spans="1:7" ht="19.5" customHeight="1">
      <c r="A143" s="245"/>
      <c r="B143" s="540"/>
      <c r="C143" s="540"/>
      <c r="D143" s="170"/>
      <c r="E143" s="532"/>
      <c r="F143" s="171"/>
      <c r="G143" s="243"/>
    </row>
    <row r="144" spans="1:7" ht="19.5" customHeight="1">
      <c r="A144" s="245"/>
      <c r="B144" s="246"/>
      <c r="C144" s="246"/>
      <c r="D144" s="170"/>
      <c r="E144" s="532"/>
      <c r="F144" s="171"/>
      <c r="G144" s="243"/>
    </row>
    <row r="145" spans="1:7" ht="19.5" customHeight="1">
      <c r="A145" s="245"/>
      <c r="B145" s="240"/>
      <c r="C145" s="247"/>
      <c r="D145" s="170"/>
      <c r="E145" s="537"/>
      <c r="F145" s="171"/>
      <c r="G145" s="243"/>
    </row>
    <row r="146" spans="1:7" ht="19.5" customHeight="1">
      <c r="A146" s="245"/>
      <c r="B146" s="240"/>
      <c r="C146" s="249"/>
      <c r="D146" s="170"/>
      <c r="E146" s="532"/>
      <c r="F146" s="171"/>
      <c r="G146" s="243"/>
    </row>
    <row r="147" spans="1:7" ht="19.5" customHeight="1">
      <c r="A147" s="753" t="s">
        <v>34</v>
      </c>
      <c r="B147" s="754"/>
      <c r="C147" s="783" t="s">
        <v>569</v>
      </c>
      <c r="D147" s="784"/>
      <c r="E147" s="785"/>
      <c r="F147" s="786" t="s">
        <v>570</v>
      </c>
      <c r="G147" s="787"/>
    </row>
    <row r="148" spans="1:7" ht="19.5" customHeight="1">
      <c r="A148" s="676"/>
      <c r="B148" s="678"/>
      <c r="C148" s="422"/>
      <c r="D148" s="256"/>
      <c r="E148" s="647"/>
      <c r="F148" s="682"/>
      <c r="G148" s="683"/>
    </row>
    <row r="149" spans="1:7" ht="19.5" customHeight="1">
      <c r="A149" s="676"/>
      <c r="B149" s="678"/>
      <c r="C149" s="422"/>
      <c r="D149" s="171"/>
      <c r="E149" s="681"/>
      <c r="F149" s="422"/>
      <c r="G149" s="683"/>
    </row>
    <row r="150" spans="1:7" ht="19.5" customHeight="1">
      <c r="A150" s="756" t="s">
        <v>571</v>
      </c>
      <c r="B150" s="757"/>
      <c r="C150" s="771" t="s">
        <v>707</v>
      </c>
      <c r="D150" s="776"/>
      <c r="E150" s="772"/>
      <c r="F150" s="771" t="s">
        <v>571</v>
      </c>
      <c r="G150" s="772"/>
    </row>
    <row r="151" spans="1:7" ht="19.5" customHeight="1">
      <c r="A151" s="758" t="s">
        <v>572</v>
      </c>
      <c r="B151" s="759"/>
      <c r="C151" s="777" t="s">
        <v>704</v>
      </c>
      <c r="D151" s="778"/>
      <c r="E151" s="779"/>
      <c r="F151" s="773" t="s">
        <v>572</v>
      </c>
      <c r="G151" s="774"/>
    </row>
    <row r="152" spans="1:7" ht="19.5" customHeight="1">
      <c r="A152" s="720"/>
      <c r="B152" s="721"/>
      <c r="C152" s="721"/>
      <c r="D152" s="722"/>
      <c r="E152" s="723"/>
      <c r="F152" s="724"/>
      <c r="G152" s="724"/>
    </row>
    <row r="153" spans="1:7" ht="19.5" customHeight="1">
      <c r="A153" s="254"/>
      <c r="B153" s="685"/>
      <c r="C153" s="255"/>
      <c r="D153" s="219"/>
      <c r="E153" s="680"/>
      <c r="F153" s="171"/>
      <c r="G153" s="171"/>
    </row>
    <row r="154" spans="1:7" ht="16.5" customHeight="1">
      <c r="A154" s="254"/>
      <c r="B154" s="254"/>
      <c r="C154" s="240"/>
      <c r="D154" s="255"/>
      <c r="E154" s="592"/>
      <c r="F154" s="255"/>
      <c r="G154" s="171"/>
    </row>
    <row r="155" spans="1:7" ht="27" customHeight="1">
      <c r="A155" s="254"/>
      <c r="B155" s="254"/>
      <c r="C155" s="159"/>
      <c r="D155" s="171"/>
      <c r="E155" s="539"/>
      <c r="F155" s="159"/>
      <c r="G155" s="171"/>
    </row>
    <row r="156" spans="1:7" ht="27" customHeight="1">
      <c r="A156" s="254"/>
      <c r="B156" s="254"/>
      <c r="C156" s="159"/>
      <c r="D156" s="171"/>
      <c r="E156" s="760"/>
      <c r="F156" s="760"/>
      <c r="G156" s="171"/>
    </row>
    <row r="157" spans="1:7" ht="23.25" customHeight="1">
      <c r="A157" s="254"/>
      <c r="B157" s="254"/>
      <c r="C157" s="159"/>
      <c r="D157" s="760"/>
      <c r="E157" s="760"/>
      <c r="F157" s="760"/>
      <c r="G157" s="760"/>
    </row>
    <row r="158" spans="1:7" ht="21" customHeight="1">
      <c r="A158" s="254"/>
      <c r="B158" s="254"/>
      <c r="C158" s="159"/>
      <c r="D158" s="171"/>
      <c r="E158" s="533"/>
      <c r="F158" s="171"/>
      <c r="G158" s="171"/>
    </row>
    <row r="159" spans="1:7" ht="16.5" customHeight="1">
      <c r="A159" s="254"/>
      <c r="B159" s="254"/>
      <c r="C159" s="159"/>
      <c r="D159" s="171"/>
      <c r="E159" s="792"/>
      <c r="F159" s="792"/>
      <c r="G159" s="171"/>
    </row>
    <row r="160" spans="1:7" ht="21" customHeight="1">
      <c r="A160" s="254"/>
      <c r="B160" s="254"/>
      <c r="C160" s="159"/>
      <c r="D160" s="256"/>
      <c r="E160" s="533"/>
      <c r="F160" s="255"/>
      <c r="G160" s="171"/>
    </row>
    <row r="161" spans="1:7" ht="24.75" customHeight="1">
      <c r="A161" s="254"/>
      <c r="B161" s="254"/>
      <c r="C161" s="159"/>
      <c r="D161" s="171"/>
      <c r="E161" s="539"/>
      <c r="F161" s="159"/>
      <c r="G161" s="171"/>
    </row>
    <row r="162" spans="1:8" ht="30" customHeight="1">
      <c r="A162" s="254"/>
      <c r="B162" s="254"/>
      <c r="C162" s="257"/>
      <c r="D162" s="171"/>
      <c r="E162" s="792"/>
      <c r="F162" s="792"/>
      <c r="G162" s="792"/>
      <c r="H162" s="792"/>
    </row>
    <row r="163" spans="1:7" ht="30" customHeight="1">
      <c r="A163" s="254"/>
      <c r="B163" s="254"/>
      <c r="C163" s="240"/>
      <c r="D163" s="795"/>
      <c r="E163" s="795"/>
      <c r="F163" s="795"/>
      <c r="G163" s="795"/>
    </row>
    <row r="164" spans="4:8" ht="21.75" customHeight="1">
      <c r="D164" s="1"/>
      <c r="E164" s="1"/>
      <c r="F164" s="1"/>
      <c r="G164" s="1"/>
      <c r="H164" s="1"/>
    </row>
    <row r="165" spans="4:8" ht="21" customHeight="1">
      <c r="D165" s="1"/>
      <c r="E165" s="1"/>
      <c r="F165" s="1"/>
      <c r="G165" s="1"/>
      <c r="H165" s="1"/>
    </row>
    <row r="166" spans="4:8" ht="21" customHeight="1">
      <c r="D166" s="1"/>
      <c r="E166" s="1"/>
      <c r="F166" s="1"/>
      <c r="G166" s="1"/>
      <c r="H166" s="1"/>
    </row>
    <row r="167" spans="4:8" ht="21" customHeight="1">
      <c r="D167" s="1"/>
      <c r="E167" s="1"/>
      <c r="F167" s="1"/>
      <c r="G167" s="1"/>
      <c r="H167" s="1"/>
    </row>
    <row r="168" spans="4:8" ht="21" customHeight="1">
      <c r="D168" s="1"/>
      <c r="E168" s="1"/>
      <c r="F168" s="1"/>
      <c r="G168" s="1"/>
      <c r="H168" s="1"/>
    </row>
    <row r="169" spans="6:8" ht="21" customHeight="1">
      <c r="F169" s="780" t="s">
        <v>642</v>
      </c>
      <c r="G169" s="780"/>
      <c r="H169" s="1"/>
    </row>
    <row r="170" spans="5:8" ht="21" customHeight="1">
      <c r="E170" s="746" t="s">
        <v>705</v>
      </c>
      <c r="F170" s="746"/>
      <c r="G170" s="746"/>
      <c r="H170" s="1"/>
    </row>
    <row r="171" spans="1:8" ht="21" customHeight="1">
      <c r="A171" s="744" t="s">
        <v>89</v>
      </c>
      <c r="B171" s="744"/>
      <c r="C171" s="744"/>
      <c r="D171" s="744"/>
      <c r="E171" s="744"/>
      <c r="F171" s="744"/>
      <c r="G171" s="744"/>
      <c r="H171" s="1"/>
    </row>
    <row r="172" spans="1:8" ht="21" customHeight="1" thickBot="1">
      <c r="A172" s="174" t="s">
        <v>121</v>
      </c>
      <c r="B172" s="174"/>
      <c r="C172" s="174"/>
      <c r="D172" s="223"/>
      <c r="H172" s="1"/>
    </row>
    <row r="173" spans="1:8" ht="21" customHeight="1" thickBot="1">
      <c r="A173" s="769" t="s">
        <v>52</v>
      </c>
      <c r="B173" s="781"/>
      <c r="C173" s="781"/>
      <c r="D173" s="782"/>
      <c r="E173" s="588" t="s">
        <v>47</v>
      </c>
      <c r="F173" s="225" t="s">
        <v>9</v>
      </c>
      <c r="G173" s="226" t="s">
        <v>10</v>
      </c>
      <c r="H173" s="1"/>
    </row>
    <row r="174" spans="1:8" ht="21" customHeight="1">
      <c r="A174" s="186" t="s">
        <v>313</v>
      </c>
      <c r="B174" s="186"/>
      <c r="C174" s="186"/>
      <c r="D174" s="186"/>
      <c r="E174" s="589"/>
      <c r="F174" s="227">
        <v>10450</v>
      </c>
      <c r="G174" s="228"/>
      <c r="H174" s="1"/>
    </row>
    <row r="175" spans="1:8" ht="21" customHeight="1">
      <c r="A175" s="185"/>
      <c r="B175" s="186" t="s">
        <v>312</v>
      </c>
      <c r="C175" s="186"/>
      <c r="E175" s="590"/>
      <c r="F175" s="230"/>
      <c r="G175" s="231">
        <f>SUM(F174:F174)</f>
        <v>10450</v>
      </c>
      <c r="H175" s="1"/>
    </row>
    <row r="176" spans="1:8" ht="21" customHeight="1">
      <c r="A176" s="232"/>
      <c r="C176" s="233"/>
      <c r="D176" s="233"/>
      <c r="E176" s="590"/>
      <c r="F176" s="230"/>
      <c r="G176" s="231"/>
      <c r="H176" s="1"/>
    </row>
    <row r="177" spans="1:8" ht="21" customHeight="1">
      <c r="A177" s="232"/>
      <c r="B177" s="233"/>
      <c r="C177" s="233"/>
      <c r="D177" s="233"/>
      <c r="E177" s="590"/>
      <c r="F177" s="230"/>
      <c r="G177" s="231"/>
      <c r="H177" s="1"/>
    </row>
    <row r="178" spans="1:8" ht="21" customHeight="1">
      <c r="A178" s="232"/>
      <c r="B178" s="233"/>
      <c r="C178" s="233"/>
      <c r="D178" s="233"/>
      <c r="E178" s="590"/>
      <c r="F178" s="230"/>
      <c r="G178" s="231"/>
      <c r="H178" s="1"/>
    </row>
    <row r="179" spans="1:8" ht="21" customHeight="1">
      <c r="A179" s="232"/>
      <c r="B179" s="233"/>
      <c r="C179" s="233"/>
      <c r="D179" s="233"/>
      <c r="E179" s="590"/>
      <c r="F179" s="230"/>
      <c r="G179" s="231"/>
      <c r="H179" s="1"/>
    </row>
    <row r="180" spans="1:8" ht="21" customHeight="1">
      <c r="A180" s="232"/>
      <c r="B180" s="233"/>
      <c r="C180" s="233"/>
      <c r="D180" s="233"/>
      <c r="E180" s="590"/>
      <c r="F180" s="234"/>
      <c r="G180" s="231"/>
      <c r="H180" s="1"/>
    </row>
    <row r="181" spans="1:8" ht="21" customHeight="1">
      <c r="A181" s="232"/>
      <c r="B181" s="233"/>
      <c r="C181" s="233"/>
      <c r="D181" s="233"/>
      <c r="E181" s="590"/>
      <c r="F181" s="234"/>
      <c r="G181" s="231"/>
      <c r="H181" s="1"/>
    </row>
    <row r="182" spans="1:8" ht="21" customHeight="1" thickBot="1">
      <c r="A182" s="235"/>
      <c r="B182" s="236"/>
      <c r="C182" s="236"/>
      <c r="D182" s="237"/>
      <c r="E182" s="591"/>
      <c r="F182" s="238">
        <f>SUM(F174:F175)</f>
        <v>10450</v>
      </c>
      <c r="G182" s="239">
        <f>SUM(G175:G175)</f>
        <v>10450</v>
      </c>
      <c r="H182" s="1"/>
    </row>
    <row r="183" spans="1:8" ht="21" customHeight="1" thickTop="1">
      <c r="A183" s="217" t="s">
        <v>90</v>
      </c>
      <c r="B183" s="240" t="s">
        <v>709</v>
      </c>
      <c r="C183" s="241"/>
      <c r="D183" s="242"/>
      <c r="E183" s="532"/>
      <c r="F183" s="171"/>
      <c r="G183" s="550"/>
      <c r="H183" s="1"/>
    </row>
    <row r="184" spans="1:8" ht="21" customHeight="1">
      <c r="A184" s="244"/>
      <c r="B184" s="240"/>
      <c r="C184" s="241"/>
      <c r="D184" s="242"/>
      <c r="E184" s="532"/>
      <c r="F184" s="171"/>
      <c r="G184" s="243"/>
      <c r="H184" s="1"/>
    </row>
    <row r="185" spans="1:8" ht="21" customHeight="1">
      <c r="A185" s="245"/>
      <c r="B185" s="540"/>
      <c r="C185" s="540"/>
      <c r="D185" s="170"/>
      <c r="E185" s="532"/>
      <c r="F185" s="171"/>
      <c r="G185" s="243"/>
      <c r="H185" s="1"/>
    </row>
    <row r="186" spans="1:8" ht="21" customHeight="1">
      <c r="A186" s="245"/>
      <c r="B186" s="246"/>
      <c r="C186" s="246"/>
      <c r="D186" s="170"/>
      <c r="E186" s="532"/>
      <c r="F186" s="171"/>
      <c r="G186" s="243"/>
      <c r="H186" s="1"/>
    </row>
    <row r="187" spans="1:8" ht="21" customHeight="1">
      <c r="A187" s="245"/>
      <c r="B187" s="240"/>
      <c r="C187" s="247"/>
      <c r="D187" s="170"/>
      <c r="E187" s="537"/>
      <c r="F187" s="171"/>
      <c r="G187" s="243"/>
      <c r="H187" s="1"/>
    </row>
    <row r="188" spans="1:8" ht="21" customHeight="1">
      <c r="A188" s="245"/>
      <c r="B188" s="240"/>
      <c r="C188" s="249"/>
      <c r="D188" s="170"/>
      <c r="E188" s="532"/>
      <c r="F188" s="171"/>
      <c r="G188" s="243"/>
      <c r="H188" s="1"/>
    </row>
    <row r="189" spans="1:8" ht="21" customHeight="1">
      <c r="A189" s="753" t="s">
        <v>34</v>
      </c>
      <c r="B189" s="754"/>
      <c r="C189" s="783" t="s">
        <v>569</v>
      </c>
      <c r="D189" s="784"/>
      <c r="E189" s="785"/>
      <c r="F189" s="786" t="s">
        <v>570</v>
      </c>
      <c r="G189" s="787"/>
      <c r="H189" s="1"/>
    </row>
    <row r="190" spans="1:8" ht="21" customHeight="1">
      <c r="A190" s="676"/>
      <c r="B190" s="678"/>
      <c r="C190" s="422"/>
      <c r="D190" s="256"/>
      <c r="E190" s="647"/>
      <c r="F190" s="682"/>
      <c r="G190" s="683"/>
      <c r="H190" s="1"/>
    </row>
    <row r="191" spans="1:8" ht="21" customHeight="1">
      <c r="A191" s="676"/>
      <c r="B191" s="678"/>
      <c r="C191" s="422"/>
      <c r="D191" s="171"/>
      <c r="E191" s="681"/>
      <c r="F191" s="422"/>
      <c r="G191" s="683"/>
      <c r="H191" s="1"/>
    </row>
    <row r="192" spans="1:8" ht="21" customHeight="1">
      <c r="A192" s="756" t="s">
        <v>571</v>
      </c>
      <c r="B192" s="757"/>
      <c r="C192" s="771" t="s">
        <v>707</v>
      </c>
      <c r="D192" s="776"/>
      <c r="E192" s="772"/>
      <c r="F192" s="771" t="s">
        <v>571</v>
      </c>
      <c r="G192" s="772"/>
      <c r="H192" s="1"/>
    </row>
    <row r="193" spans="1:8" ht="21" customHeight="1">
      <c r="A193" s="758" t="s">
        <v>572</v>
      </c>
      <c r="B193" s="759"/>
      <c r="C193" s="777" t="s">
        <v>704</v>
      </c>
      <c r="D193" s="778"/>
      <c r="E193" s="779"/>
      <c r="F193" s="773" t="s">
        <v>572</v>
      </c>
      <c r="G193" s="774"/>
      <c r="H193" s="1"/>
    </row>
    <row r="194" spans="4:8" ht="21" customHeight="1">
      <c r="D194" s="1"/>
      <c r="E194" s="1"/>
      <c r="F194" s="1"/>
      <c r="G194" s="1"/>
      <c r="H194" s="1"/>
    </row>
    <row r="195" spans="4:8" ht="21" customHeight="1">
      <c r="D195" s="1"/>
      <c r="E195" s="1"/>
      <c r="F195" s="1"/>
      <c r="G195" s="1"/>
      <c r="H195" s="1"/>
    </row>
    <row r="196" spans="4:8" ht="21" customHeight="1">
      <c r="D196" s="1"/>
      <c r="E196" s="1"/>
      <c r="F196" s="1"/>
      <c r="G196" s="1"/>
      <c r="H196" s="1"/>
    </row>
    <row r="197" spans="4:8" ht="21" customHeight="1">
      <c r="D197" s="1"/>
      <c r="E197" s="1"/>
      <c r="F197" s="1"/>
      <c r="G197" s="1"/>
      <c r="H197" s="1"/>
    </row>
    <row r="198" spans="4:8" ht="21" customHeight="1">
      <c r="D198" s="1"/>
      <c r="E198" s="1"/>
      <c r="F198" s="1"/>
      <c r="G198" s="1"/>
      <c r="H198" s="1"/>
    </row>
    <row r="199" spans="4:8" ht="21" customHeight="1">
      <c r="D199" s="1"/>
      <c r="E199" s="1"/>
      <c r="F199" s="1"/>
      <c r="G199" s="1"/>
      <c r="H199" s="1"/>
    </row>
    <row r="200" spans="4:8" ht="21" customHeight="1">
      <c r="D200" s="1"/>
      <c r="E200" s="1"/>
      <c r="F200" s="1"/>
      <c r="G200" s="1"/>
      <c r="H200" s="1"/>
    </row>
    <row r="201" spans="4:8" ht="21" customHeight="1">
      <c r="D201" s="1"/>
      <c r="E201" s="1"/>
      <c r="F201" s="1"/>
      <c r="G201" s="1"/>
      <c r="H201" s="1"/>
    </row>
    <row r="202" spans="4:8" ht="21" customHeight="1">
      <c r="D202" s="1"/>
      <c r="E202" s="1"/>
      <c r="F202" s="1"/>
      <c r="G202" s="1"/>
      <c r="H202" s="1"/>
    </row>
    <row r="203" spans="4:8" ht="21" customHeight="1">
      <c r="D203" s="1"/>
      <c r="E203" s="1"/>
      <c r="F203" s="1"/>
      <c r="G203" s="1"/>
      <c r="H203" s="1"/>
    </row>
    <row r="204" spans="4:8" ht="21" customHeight="1">
      <c r="D204" s="1"/>
      <c r="E204" s="1"/>
      <c r="F204" s="1"/>
      <c r="G204" s="1"/>
      <c r="H204" s="1"/>
    </row>
    <row r="205" spans="4:8" ht="21" customHeight="1">
      <c r="D205" s="1"/>
      <c r="E205" s="1"/>
      <c r="F205" s="1"/>
      <c r="G205" s="1"/>
      <c r="H205" s="1"/>
    </row>
    <row r="206" spans="4:8" ht="21" customHeight="1">
      <c r="D206" s="1"/>
      <c r="E206" s="1"/>
      <c r="F206" s="1"/>
      <c r="G206" s="1"/>
      <c r="H206" s="1"/>
    </row>
    <row r="207" spans="4:8" ht="21" customHeight="1">
      <c r="D207" s="1"/>
      <c r="E207" s="1"/>
      <c r="F207" s="1"/>
      <c r="G207" s="1"/>
      <c r="H207" s="1"/>
    </row>
    <row r="208" spans="4:8" ht="21" customHeight="1">
      <c r="D208" s="1"/>
      <c r="E208" s="1"/>
      <c r="F208" s="1"/>
      <c r="G208" s="1"/>
      <c r="H208" s="1"/>
    </row>
    <row r="209" spans="4:8" ht="21" customHeight="1">
      <c r="D209" s="1"/>
      <c r="E209" s="1"/>
      <c r="F209" s="1"/>
      <c r="G209" s="1"/>
      <c r="H209" s="1"/>
    </row>
    <row r="210" spans="4:8" ht="21" customHeight="1">
      <c r="D210" s="1"/>
      <c r="E210" s="1"/>
      <c r="F210" s="1"/>
      <c r="G210" s="1"/>
      <c r="H210" s="1"/>
    </row>
    <row r="211" spans="6:8" ht="21" customHeight="1">
      <c r="F211" s="780" t="s">
        <v>642</v>
      </c>
      <c r="G211" s="780"/>
      <c r="H211" s="1"/>
    </row>
    <row r="212" spans="5:8" ht="21" customHeight="1">
      <c r="E212" s="746" t="s">
        <v>705</v>
      </c>
      <c r="F212" s="746"/>
      <c r="G212" s="746"/>
      <c r="H212" s="1"/>
    </row>
    <row r="213" spans="1:8" ht="21" customHeight="1">
      <c r="A213" s="744" t="s">
        <v>89</v>
      </c>
      <c r="B213" s="744"/>
      <c r="C213" s="744"/>
      <c r="D213" s="744"/>
      <c r="E213" s="744"/>
      <c r="F213" s="744"/>
      <c r="G213" s="744"/>
      <c r="H213" s="1"/>
    </row>
    <row r="214" spans="1:8" ht="21" customHeight="1" thickBot="1">
      <c r="A214" s="174" t="s">
        <v>121</v>
      </c>
      <c r="B214" s="174"/>
      <c r="C214" s="174"/>
      <c r="D214" s="223"/>
      <c r="H214" s="1"/>
    </row>
    <row r="215" spans="1:8" ht="21" customHeight="1" thickBot="1">
      <c r="A215" s="769" t="s">
        <v>52</v>
      </c>
      <c r="B215" s="781"/>
      <c r="C215" s="781"/>
      <c r="D215" s="782"/>
      <c r="E215" s="588" t="s">
        <v>47</v>
      </c>
      <c r="F215" s="225" t="s">
        <v>9</v>
      </c>
      <c r="G215" s="226" t="s">
        <v>10</v>
      </c>
      <c r="H215" s="1"/>
    </row>
    <row r="216" spans="1:8" ht="21" customHeight="1">
      <c r="A216" s="186" t="s">
        <v>6</v>
      </c>
      <c r="B216" s="186"/>
      <c r="C216" s="186"/>
      <c r="D216" s="186"/>
      <c r="E216" s="589"/>
      <c r="F216" s="227">
        <v>10450</v>
      </c>
      <c r="G216" s="228"/>
      <c r="H216" s="1"/>
    </row>
    <row r="217" spans="1:8" ht="21" customHeight="1">
      <c r="A217" s="185"/>
      <c r="B217" s="186" t="s">
        <v>710</v>
      </c>
      <c r="C217" s="186"/>
      <c r="E217" s="590"/>
      <c r="F217" s="230"/>
      <c r="G217" s="231">
        <f>SUM(F216:F216)</f>
        <v>10450</v>
      </c>
      <c r="H217" s="1"/>
    </row>
    <row r="218" spans="1:8" ht="21" customHeight="1">
      <c r="A218" s="232"/>
      <c r="C218" s="233"/>
      <c r="D218" s="233"/>
      <c r="E218" s="590"/>
      <c r="F218" s="230"/>
      <c r="G218" s="231"/>
      <c r="H218" s="1"/>
    </row>
    <row r="219" spans="1:8" ht="21" customHeight="1">
      <c r="A219" s="232"/>
      <c r="B219" s="233"/>
      <c r="C219" s="233"/>
      <c r="D219" s="233"/>
      <c r="E219" s="590"/>
      <c r="F219" s="230"/>
      <c r="G219" s="231"/>
      <c r="H219" s="1"/>
    </row>
    <row r="220" spans="1:8" ht="21" customHeight="1">
      <c r="A220" s="232"/>
      <c r="B220" s="233"/>
      <c r="C220" s="233"/>
      <c r="D220" s="233"/>
      <c r="E220" s="590"/>
      <c r="F220" s="230"/>
      <c r="G220" s="231"/>
      <c r="H220" s="1"/>
    </row>
    <row r="221" spans="1:8" ht="21" customHeight="1">
      <c r="A221" s="232"/>
      <c r="B221" s="233"/>
      <c r="C221" s="233"/>
      <c r="D221" s="233"/>
      <c r="E221" s="590"/>
      <c r="F221" s="230"/>
      <c r="G221" s="231"/>
      <c r="H221" s="1"/>
    </row>
    <row r="222" spans="1:8" ht="21" customHeight="1">
      <c r="A222" s="232"/>
      <c r="B222" s="233"/>
      <c r="C222" s="233"/>
      <c r="D222" s="233"/>
      <c r="E222" s="590"/>
      <c r="F222" s="234"/>
      <c r="G222" s="231"/>
      <c r="H222" s="1"/>
    </row>
    <row r="223" spans="1:8" ht="21" customHeight="1">
      <c r="A223" s="232"/>
      <c r="B223" s="233"/>
      <c r="C223" s="233"/>
      <c r="D223" s="233"/>
      <c r="E223" s="590"/>
      <c r="F223" s="234"/>
      <c r="G223" s="231"/>
      <c r="H223" s="1"/>
    </row>
    <row r="224" spans="1:8" ht="21" customHeight="1" thickBot="1">
      <c r="A224" s="235"/>
      <c r="B224" s="236"/>
      <c r="C224" s="236"/>
      <c r="D224" s="237"/>
      <c r="E224" s="591"/>
      <c r="F224" s="238">
        <f>SUM(F216:F217)</f>
        <v>10450</v>
      </c>
      <c r="G224" s="239">
        <f>SUM(G217:G217)</f>
        <v>10450</v>
      </c>
      <c r="H224" s="1"/>
    </row>
    <row r="225" spans="1:8" ht="21" customHeight="1" thickTop="1">
      <c r="A225" s="217" t="s">
        <v>90</v>
      </c>
      <c r="B225" s="240" t="s">
        <v>714</v>
      </c>
      <c r="C225" s="241"/>
      <c r="D225" s="242"/>
      <c r="E225" s="532"/>
      <c r="F225" s="171"/>
      <c r="G225" s="550"/>
      <c r="H225" s="1"/>
    </row>
    <row r="226" spans="1:8" ht="21" customHeight="1">
      <c r="A226" s="244"/>
      <c r="B226" s="240"/>
      <c r="C226" s="241"/>
      <c r="D226" s="242"/>
      <c r="E226" s="532"/>
      <c r="F226" s="171"/>
      <c r="G226" s="243"/>
      <c r="H226" s="1"/>
    </row>
    <row r="227" spans="1:8" ht="21" customHeight="1">
      <c r="A227" s="245"/>
      <c r="B227" s="540"/>
      <c r="C227" s="540"/>
      <c r="D227" s="170"/>
      <c r="E227" s="532"/>
      <c r="F227" s="171"/>
      <c r="G227" s="243"/>
      <c r="H227" s="1"/>
    </row>
    <row r="228" spans="1:8" ht="21" customHeight="1">
      <c r="A228" s="245"/>
      <c r="B228" s="246"/>
      <c r="C228" s="246"/>
      <c r="D228" s="170"/>
      <c r="E228" s="532"/>
      <c r="F228" s="171"/>
      <c r="G228" s="243"/>
      <c r="H228" s="1"/>
    </row>
    <row r="229" spans="1:8" ht="21" customHeight="1">
      <c r="A229" s="245"/>
      <c r="B229" s="240"/>
      <c r="C229" s="247"/>
      <c r="D229" s="170"/>
      <c r="E229" s="537"/>
      <c r="F229" s="171"/>
      <c r="G229" s="243"/>
      <c r="H229" s="1"/>
    </row>
    <row r="230" spans="1:8" ht="21" customHeight="1">
      <c r="A230" s="245"/>
      <c r="B230" s="240"/>
      <c r="C230" s="249"/>
      <c r="D230" s="170"/>
      <c r="E230" s="532"/>
      <c r="F230" s="171"/>
      <c r="G230" s="243"/>
      <c r="H230" s="1"/>
    </row>
    <row r="231" spans="1:8" ht="21" customHeight="1">
      <c r="A231" s="753" t="s">
        <v>34</v>
      </c>
      <c r="B231" s="754"/>
      <c r="C231" s="783" t="s">
        <v>569</v>
      </c>
      <c r="D231" s="784"/>
      <c r="E231" s="785"/>
      <c r="F231" s="786" t="s">
        <v>570</v>
      </c>
      <c r="G231" s="787"/>
      <c r="H231" s="1"/>
    </row>
    <row r="232" spans="1:8" ht="21" customHeight="1">
      <c r="A232" s="676"/>
      <c r="B232" s="678"/>
      <c r="C232" s="422"/>
      <c r="D232" s="256"/>
      <c r="E232" s="647"/>
      <c r="F232" s="682"/>
      <c r="G232" s="683"/>
      <c r="H232" s="1"/>
    </row>
    <row r="233" spans="1:8" ht="21" customHeight="1">
      <c r="A233" s="676"/>
      <c r="B233" s="678"/>
      <c r="C233" s="422"/>
      <c r="D233" s="171"/>
      <c r="E233" s="681"/>
      <c r="F233" s="422"/>
      <c r="G233" s="683"/>
      <c r="H233" s="1"/>
    </row>
    <row r="234" spans="1:8" ht="21" customHeight="1">
      <c r="A234" s="756" t="s">
        <v>571</v>
      </c>
      <c r="B234" s="757"/>
      <c r="C234" s="771" t="s">
        <v>707</v>
      </c>
      <c r="D234" s="776"/>
      <c r="E234" s="772"/>
      <c r="F234" s="771" t="s">
        <v>571</v>
      </c>
      <c r="G234" s="772"/>
      <c r="H234" s="1"/>
    </row>
    <row r="235" spans="1:8" ht="21" customHeight="1">
      <c r="A235" s="758" t="s">
        <v>572</v>
      </c>
      <c r="B235" s="759"/>
      <c r="C235" s="777" t="s">
        <v>704</v>
      </c>
      <c r="D235" s="778"/>
      <c r="E235" s="779"/>
      <c r="F235" s="773" t="s">
        <v>572</v>
      </c>
      <c r="G235" s="774"/>
      <c r="H235" s="1"/>
    </row>
    <row r="236" spans="4:8" ht="21" customHeight="1">
      <c r="D236" s="1"/>
      <c r="E236" s="1"/>
      <c r="F236" s="1"/>
      <c r="G236" s="1"/>
      <c r="H236" s="1"/>
    </row>
    <row r="237" spans="4:8" ht="21" customHeight="1">
      <c r="D237" s="1"/>
      <c r="E237" s="1"/>
      <c r="F237" s="1"/>
      <c r="G237" s="1"/>
      <c r="H237" s="1"/>
    </row>
    <row r="238" spans="4:8" ht="21" customHeight="1">
      <c r="D238" s="1"/>
      <c r="E238" s="1"/>
      <c r="F238" s="1"/>
      <c r="G238" s="1"/>
      <c r="H238" s="1"/>
    </row>
    <row r="239" spans="4:8" ht="21" customHeight="1">
      <c r="D239" s="1"/>
      <c r="E239" s="1"/>
      <c r="F239" s="1"/>
      <c r="G239" s="1"/>
      <c r="H239" s="1"/>
    </row>
    <row r="240" spans="4:8" ht="21" customHeight="1">
      <c r="D240" s="1"/>
      <c r="E240" s="1"/>
      <c r="F240" s="1"/>
      <c r="G240" s="1"/>
      <c r="H240" s="1"/>
    </row>
    <row r="241" spans="4:8" ht="21" customHeight="1">
      <c r="D241" s="1"/>
      <c r="E241" s="1"/>
      <c r="F241" s="1"/>
      <c r="G241" s="1"/>
      <c r="H241" s="1"/>
    </row>
    <row r="242" spans="4:8" ht="21" customHeight="1">
      <c r="D242" s="1"/>
      <c r="E242" s="1"/>
      <c r="F242" s="1"/>
      <c r="G242" s="1"/>
      <c r="H242" s="1"/>
    </row>
    <row r="243" spans="4:8" ht="21" customHeight="1">
      <c r="D243" s="1"/>
      <c r="E243" s="1"/>
      <c r="F243" s="1"/>
      <c r="G243" s="1"/>
      <c r="H243" s="1"/>
    </row>
    <row r="244" spans="4:8" ht="21" customHeight="1">
      <c r="D244" s="1"/>
      <c r="E244" s="1"/>
      <c r="F244" s="1"/>
      <c r="G244" s="1"/>
      <c r="H244" s="1"/>
    </row>
    <row r="245" spans="4:8" ht="21" customHeight="1">
      <c r="D245" s="1"/>
      <c r="E245" s="1"/>
      <c r="F245" s="1"/>
      <c r="G245" s="1"/>
      <c r="H245" s="1"/>
    </row>
    <row r="246" spans="4:8" ht="21" customHeight="1">
      <c r="D246" s="1"/>
      <c r="E246" s="1"/>
      <c r="F246" s="1"/>
      <c r="G246" s="1"/>
      <c r="H246" s="1"/>
    </row>
    <row r="247" spans="4:8" ht="21" customHeight="1">
      <c r="D247" s="1"/>
      <c r="E247" s="1"/>
      <c r="F247" s="1"/>
      <c r="G247" s="1"/>
      <c r="H247" s="1"/>
    </row>
    <row r="248" spans="4:8" ht="21" customHeight="1">
      <c r="D248" s="1"/>
      <c r="E248" s="1"/>
      <c r="F248" s="1"/>
      <c r="G248" s="1"/>
      <c r="H248" s="1"/>
    </row>
    <row r="249" spans="4:8" ht="21" customHeight="1">
      <c r="D249" s="1"/>
      <c r="E249" s="1"/>
      <c r="F249" s="1"/>
      <c r="G249" s="1"/>
      <c r="H249" s="1"/>
    </row>
    <row r="250" spans="4:8" ht="21" customHeight="1">
      <c r="D250" s="1"/>
      <c r="E250" s="1"/>
      <c r="F250" s="1"/>
      <c r="G250" s="1"/>
      <c r="H250" s="1"/>
    </row>
    <row r="251" spans="4:8" ht="21" customHeight="1">
      <c r="D251" s="1"/>
      <c r="E251" s="1"/>
      <c r="F251" s="1"/>
      <c r="G251" s="1"/>
      <c r="H251" s="1"/>
    </row>
    <row r="252" spans="4:8" ht="21" customHeight="1">
      <c r="D252" s="1"/>
      <c r="E252" s="1"/>
      <c r="F252" s="1"/>
      <c r="G252" s="1"/>
      <c r="H252" s="1"/>
    </row>
    <row r="253" spans="6:8" ht="21" customHeight="1">
      <c r="F253" s="780" t="s">
        <v>642</v>
      </c>
      <c r="G253" s="780"/>
      <c r="H253" s="1"/>
    </row>
    <row r="254" spans="5:8" ht="21" customHeight="1">
      <c r="E254" s="746" t="s">
        <v>705</v>
      </c>
      <c r="F254" s="746"/>
      <c r="G254" s="746"/>
      <c r="H254" s="1"/>
    </row>
    <row r="255" spans="1:8" ht="21" customHeight="1">
      <c r="A255" s="744" t="s">
        <v>89</v>
      </c>
      <c r="B255" s="744"/>
      <c r="C255" s="744"/>
      <c r="D255" s="744"/>
      <c r="E255" s="744"/>
      <c r="F255" s="744"/>
      <c r="G255" s="744"/>
      <c r="H255" s="1"/>
    </row>
    <row r="256" spans="1:8" ht="21" customHeight="1" thickBot="1">
      <c r="A256" s="174" t="s">
        <v>121</v>
      </c>
      <c r="B256" s="174"/>
      <c r="C256" s="174"/>
      <c r="D256" s="223"/>
      <c r="H256" s="1"/>
    </row>
    <row r="257" spans="1:8" ht="21" customHeight="1" thickBot="1">
      <c r="A257" s="769" t="s">
        <v>52</v>
      </c>
      <c r="B257" s="781"/>
      <c r="C257" s="781"/>
      <c r="D257" s="782"/>
      <c r="E257" s="588" t="s">
        <v>47</v>
      </c>
      <c r="F257" s="225" t="s">
        <v>9</v>
      </c>
      <c r="G257" s="226" t="s">
        <v>10</v>
      </c>
      <c r="H257" s="1"/>
    </row>
    <row r="258" spans="1:8" ht="21" customHeight="1">
      <c r="A258" s="742" t="s">
        <v>1</v>
      </c>
      <c r="B258" s="186"/>
      <c r="C258" s="186"/>
      <c r="D258" s="186"/>
      <c r="E258" s="589"/>
      <c r="F258" s="227">
        <v>5600</v>
      </c>
      <c r="G258" s="228"/>
      <c r="H258" s="1"/>
    </row>
    <row r="259" spans="1:8" ht="21" customHeight="1">
      <c r="A259" s="185"/>
      <c r="B259" s="186" t="s">
        <v>45</v>
      </c>
      <c r="C259" s="186"/>
      <c r="E259" s="590"/>
      <c r="F259" s="230"/>
      <c r="G259" s="231">
        <v>5600</v>
      </c>
      <c r="H259" s="1"/>
    </row>
    <row r="260" spans="1:8" ht="21" customHeight="1">
      <c r="A260" s="232"/>
      <c r="C260" s="233"/>
      <c r="D260" s="233"/>
      <c r="E260" s="590"/>
      <c r="F260" s="230"/>
      <c r="G260" s="231"/>
      <c r="H260" s="1"/>
    </row>
    <row r="261" spans="1:8" ht="21" customHeight="1">
      <c r="A261" s="232"/>
      <c r="B261" s="233"/>
      <c r="C261" s="233"/>
      <c r="D261" s="233"/>
      <c r="E261" s="590"/>
      <c r="F261" s="230"/>
      <c r="G261" s="231"/>
      <c r="H261" s="1"/>
    </row>
    <row r="262" spans="1:8" ht="21" customHeight="1">
      <c r="A262" s="232"/>
      <c r="B262" s="233"/>
      <c r="C262" s="233"/>
      <c r="D262" s="233"/>
      <c r="E262" s="590"/>
      <c r="F262" s="230"/>
      <c r="G262" s="231"/>
      <c r="H262" s="1"/>
    </row>
    <row r="263" spans="1:8" ht="21" customHeight="1">
      <c r="A263" s="232"/>
      <c r="B263" s="233"/>
      <c r="C263" s="233"/>
      <c r="D263" s="233"/>
      <c r="E263" s="590"/>
      <c r="F263" s="230"/>
      <c r="G263" s="231"/>
      <c r="H263" s="1"/>
    </row>
    <row r="264" spans="1:8" ht="21" customHeight="1">
      <c r="A264" s="232"/>
      <c r="B264" s="233"/>
      <c r="C264" s="233"/>
      <c r="D264" s="233"/>
      <c r="E264" s="590"/>
      <c r="F264" s="234"/>
      <c r="G264" s="231"/>
      <c r="H264" s="1"/>
    </row>
    <row r="265" spans="1:8" ht="21" customHeight="1">
      <c r="A265" s="232"/>
      <c r="B265" s="233"/>
      <c r="C265" s="233"/>
      <c r="D265" s="233"/>
      <c r="E265" s="590"/>
      <c r="F265" s="234"/>
      <c r="G265" s="231"/>
      <c r="H265" s="1"/>
    </row>
    <row r="266" spans="1:8" ht="21" customHeight="1" thickBot="1">
      <c r="A266" s="235"/>
      <c r="B266" s="236"/>
      <c r="C266" s="236"/>
      <c r="D266" s="237"/>
      <c r="E266" s="591"/>
      <c r="F266" s="238">
        <f>SUM(F258:F259)</f>
        <v>5600</v>
      </c>
      <c r="G266" s="239">
        <f>SUM(G259:G259)</f>
        <v>5600</v>
      </c>
      <c r="H266" s="1"/>
    </row>
    <row r="267" spans="1:8" ht="21" customHeight="1" thickTop="1">
      <c r="A267" s="217" t="s">
        <v>90</v>
      </c>
      <c r="B267" s="240" t="s">
        <v>715</v>
      </c>
      <c r="C267" s="241"/>
      <c r="D267" s="242"/>
      <c r="E267" s="532"/>
      <c r="F267" s="171"/>
      <c r="G267" s="550"/>
      <c r="H267" s="1"/>
    </row>
    <row r="268" spans="1:8" ht="21" customHeight="1">
      <c r="A268" s="244"/>
      <c r="B268" s="240"/>
      <c r="C268" s="241"/>
      <c r="D268" s="242"/>
      <c r="E268" s="532"/>
      <c r="F268" s="171"/>
      <c r="G268" s="243"/>
      <c r="H268" s="1"/>
    </row>
    <row r="269" spans="1:8" ht="21" customHeight="1">
      <c r="A269" s="245"/>
      <c r="B269" s="540"/>
      <c r="C269" s="540"/>
      <c r="D269" s="170"/>
      <c r="E269" s="532"/>
      <c r="F269" s="171"/>
      <c r="G269" s="243"/>
      <c r="H269" s="1"/>
    </row>
    <row r="270" spans="1:8" ht="21" customHeight="1">
      <c r="A270" s="245"/>
      <c r="B270" s="246"/>
      <c r="C270" s="246"/>
      <c r="D270" s="170"/>
      <c r="E270" s="532"/>
      <c r="F270" s="171"/>
      <c r="G270" s="243"/>
      <c r="H270" s="1"/>
    </row>
    <row r="271" spans="1:8" ht="21" customHeight="1">
      <c r="A271" s="245"/>
      <c r="B271" s="240"/>
      <c r="C271" s="247"/>
      <c r="D271" s="170"/>
      <c r="E271" s="537"/>
      <c r="F271" s="171"/>
      <c r="G271" s="243"/>
      <c r="H271" s="1"/>
    </row>
    <row r="272" spans="1:8" ht="21" customHeight="1">
      <c r="A272" s="245"/>
      <c r="B272" s="240"/>
      <c r="C272" s="249"/>
      <c r="D272" s="170"/>
      <c r="E272" s="532"/>
      <c r="F272" s="171"/>
      <c r="G272" s="243"/>
      <c r="H272" s="1"/>
    </row>
    <row r="273" spans="1:8" ht="21" customHeight="1">
      <c r="A273" s="753" t="s">
        <v>34</v>
      </c>
      <c r="B273" s="754"/>
      <c r="C273" s="783" t="s">
        <v>569</v>
      </c>
      <c r="D273" s="784"/>
      <c r="E273" s="785"/>
      <c r="F273" s="786" t="s">
        <v>570</v>
      </c>
      <c r="G273" s="787"/>
      <c r="H273" s="1"/>
    </row>
    <row r="274" spans="1:8" ht="21" customHeight="1">
      <c r="A274" s="676"/>
      <c r="B274" s="678"/>
      <c r="C274" s="422"/>
      <c r="D274" s="256"/>
      <c r="E274" s="647"/>
      <c r="F274" s="682"/>
      <c r="G274" s="683"/>
      <c r="H274" s="1"/>
    </row>
    <row r="275" spans="1:8" ht="21" customHeight="1">
      <c r="A275" s="676"/>
      <c r="B275" s="678"/>
      <c r="C275" s="422"/>
      <c r="D275" s="171"/>
      <c r="E275" s="681"/>
      <c r="F275" s="422"/>
      <c r="G275" s="683"/>
      <c r="H275" s="1"/>
    </row>
    <row r="276" spans="1:8" ht="21" customHeight="1">
      <c r="A276" s="756" t="s">
        <v>571</v>
      </c>
      <c r="B276" s="757"/>
      <c r="C276" s="771" t="s">
        <v>707</v>
      </c>
      <c r="D276" s="776"/>
      <c r="E276" s="772"/>
      <c r="F276" s="771" t="s">
        <v>571</v>
      </c>
      <c r="G276" s="772"/>
      <c r="H276" s="1"/>
    </row>
    <row r="277" spans="1:8" ht="21" customHeight="1">
      <c r="A277" s="758" t="s">
        <v>572</v>
      </c>
      <c r="B277" s="759"/>
      <c r="C277" s="777" t="s">
        <v>704</v>
      </c>
      <c r="D277" s="778"/>
      <c r="E277" s="779"/>
      <c r="F277" s="773" t="s">
        <v>572</v>
      </c>
      <c r="G277" s="774"/>
      <c r="H277" s="1"/>
    </row>
    <row r="278" spans="4:8" ht="21" customHeight="1">
      <c r="D278" s="1"/>
      <c r="E278" s="1"/>
      <c r="F278" s="1"/>
      <c r="G278" s="1"/>
      <c r="H278" s="1"/>
    </row>
    <row r="279" spans="4:8" ht="21" customHeight="1">
      <c r="D279" s="1"/>
      <c r="E279" s="1"/>
      <c r="F279" s="1"/>
      <c r="G279" s="1"/>
      <c r="H279" s="1"/>
    </row>
    <row r="280" spans="4:8" ht="21" customHeight="1">
      <c r="D280" s="1"/>
      <c r="E280" s="1"/>
      <c r="F280" s="1"/>
      <c r="G280" s="1"/>
      <c r="H280" s="1"/>
    </row>
    <row r="281" spans="4:8" ht="21" customHeight="1">
      <c r="D281" s="1"/>
      <c r="E281" s="1"/>
      <c r="F281" s="1"/>
      <c r="G281" s="1"/>
      <c r="H281" s="1"/>
    </row>
    <row r="282" spans="4:8" ht="21" customHeight="1">
      <c r="D282" s="1"/>
      <c r="E282" s="1"/>
      <c r="F282" s="1"/>
      <c r="G282" s="1"/>
      <c r="H282" s="1"/>
    </row>
    <row r="283" spans="4:8" ht="21" customHeight="1">
      <c r="D283" s="1"/>
      <c r="E283" s="1"/>
      <c r="F283" s="1"/>
      <c r="G283" s="1"/>
      <c r="H283" s="1"/>
    </row>
    <row r="284" spans="4:8" ht="21" customHeight="1">
      <c r="D284" s="1"/>
      <c r="E284" s="1"/>
      <c r="F284" s="1"/>
      <c r="G284" s="1"/>
      <c r="H284" s="1"/>
    </row>
    <row r="285" spans="4:8" ht="21" customHeight="1">
      <c r="D285" s="1"/>
      <c r="E285" s="1"/>
      <c r="F285" s="1"/>
      <c r="G285" s="1"/>
      <c r="H285" s="1"/>
    </row>
    <row r="286" spans="4:8" ht="21" customHeight="1">
      <c r="D286" s="1"/>
      <c r="E286" s="1"/>
      <c r="F286" s="1"/>
      <c r="G286" s="1"/>
      <c r="H286" s="1"/>
    </row>
    <row r="287" spans="4:8" ht="21" customHeight="1">
      <c r="D287" s="1"/>
      <c r="E287" s="1"/>
      <c r="F287" s="1"/>
      <c r="G287" s="1"/>
      <c r="H287" s="1"/>
    </row>
    <row r="288" spans="4:8" ht="21" customHeight="1">
      <c r="D288" s="1"/>
      <c r="E288" s="1"/>
      <c r="F288" s="1"/>
      <c r="G288" s="1"/>
      <c r="H288" s="1"/>
    </row>
    <row r="289" spans="4:8" ht="21" customHeight="1">
      <c r="D289" s="1"/>
      <c r="E289" s="1"/>
      <c r="F289" s="1"/>
      <c r="G289" s="1"/>
      <c r="H289" s="1"/>
    </row>
    <row r="290" spans="4:8" ht="21" customHeight="1">
      <c r="D290" s="1"/>
      <c r="E290" s="1"/>
      <c r="F290" s="1"/>
      <c r="G290" s="1"/>
      <c r="H290" s="1"/>
    </row>
    <row r="291" spans="4:8" ht="21" customHeight="1">
      <c r="D291" s="1"/>
      <c r="E291" s="1"/>
      <c r="F291" s="1"/>
      <c r="G291" s="1"/>
      <c r="H291" s="1"/>
    </row>
    <row r="292" spans="4:8" ht="21" customHeight="1">
      <c r="D292" s="1"/>
      <c r="E292" s="1"/>
      <c r="F292" s="1"/>
      <c r="G292" s="1"/>
      <c r="H292" s="1"/>
    </row>
    <row r="293" spans="4:8" ht="21" customHeight="1">
      <c r="D293" s="1"/>
      <c r="E293" s="1"/>
      <c r="F293" s="1"/>
      <c r="G293" s="1"/>
      <c r="H293" s="1"/>
    </row>
    <row r="294" spans="4:8" ht="21" customHeight="1">
      <c r="D294" s="1"/>
      <c r="E294" s="1"/>
      <c r="F294" s="1"/>
      <c r="G294" s="1"/>
      <c r="H294" s="1"/>
    </row>
    <row r="295" spans="4:8" ht="21" customHeight="1">
      <c r="D295" s="1"/>
      <c r="E295" s="1"/>
      <c r="F295" s="1"/>
      <c r="G295" s="1"/>
      <c r="H295" s="1"/>
    </row>
    <row r="296" spans="4:8" ht="21" customHeight="1">
      <c r="D296" s="1"/>
      <c r="E296" s="1"/>
      <c r="F296" s="1"/>
      <c r="G296" s="1"/>
      <c r="H296" s="1"/>
    </row>
    <row r="297" spans="4:8" ht="21" customHeight="1">
      <c r="D297" s="1"/>
      <c r="E297" s="1"/>
      <c r="F297" s="1"/>
      <c r="G297" s="1"/>
      <c r="H297" s="1"/>
    </row>
    <row r="298" spans="4:8" ht="21" customHeight="1">
      <c r="D298" s="1"/>
      <c r="E298" s="1"/>
      <c r="F298" s="1"/>
      <c r="G298" s="1"/>
      <c r="H298" s="1"/>
    </row>
    <row r="299" spans="4:8" ht="21" customHeight="1">
      <c r="D299" s="1"/>
      <c r="E299" s="1"/>
      <c r="F299" s="1"/>
      <c r="G299" s="1"/>
      <c r="H299" s="1"/>
    </row>
    <row r="300" spans="4:8" ht="21" customHeight="1">
      <c r="D300" s="1"/>
      <c r="E300" s="1"/>
      <c r="F300" s="1"/>
      <c r="G300" s="1"/>
      <c r="H300" s="1"/>
    </row>
    <row r="301" spans="4:8" ht="21" customHeight="1">
      <c r="D301" s="1"/>
      <c r="E301" s="1"/>
      <c r="F301" s="1"/>
      <c r="G301" s="1"/>
      <c r="H301" s="1"/>
    </row>
    <row r="302" spans="4:8" ht="21" customHeight="1">
      <c r="D302" s="1"/>
      <c r="E302" s="1"/>
      <c r="F302" s="1"/>
      <c r="G302" s="1"/>
      <c r="H302" s="1"/>
    </row>
    <row r="303" spans="4:8" ht="21" customHeight="1">
      <c r="D303" s="1"/>
      <c r="E303" s="1"/>
      <c r="F303" s="1"/>
      <c r="G303" s="1"/>
      <c r="H303" s="1"/>
    </row>
    <row r="304" spans="4:8" ht="21" customHeight="1">
      <c r="D304" s="1"/>
      <c r="E304" s="1"/>
      <c r="F304" s="1"/>
      <c r="G304" s="1"/>
      <c r="H304" s="1"/>
    </row>
    <row r="305" spans="4:8" ht="21" customHeight="1">
      <c r="D305" s="1"/>
      <c r="E305" s="1"/>
      <c r="F305" s="1"/>
      <c r="G305" s="1"/>
      <c r="H305" s="1"/>
    </row>
    <row r="306" spans="4:8" ht="21" customHeight="1">
      <c r="D306" s="1"/>
      <c r="E306" s="1"/>
      <c r="F306" s="1"/>
      <c r="G306" s="1"/>
      <c r="H306" s="1"/>
    </row>
    <row r="307" spans="4:8" ht="21" customHeight="1">
      <c r="D307" s="1"/>
      <c r="E307" s="1"/>
      <c r="F307" s="1"/>
      <c r="G307" s="1"/>
      <c r="H307" s="1"/>
    </row>
    <row r="308" spans="4:8" ht="21" customHeight="1">
      <c r="D308" s="1"/>
      <c r="E308" s="1"/>
      <c r="F308" s="1"/>
      <c r="G308" s="1"/>
      <c r="H308" s="1"/>
    </row>
    <row r="309" spans="4:8" ht="21" customHeight="1">
      <c r="D309" s="1"/>
      <c r="E309" s="1"/>
      <c r="F309" s="1"/>
      <c r="G309" s="1"/>
      <c r="H309" s="1"/>
    </row>
    <row r="310" spans="4:8" ht="21" customHeight="1">
      <c r="D310" s="1"/>
      <c r="E310" s="1"/>
      <c r="F310" s="1"/>
      <c r="G310" s="1"/>
      <c r="H310" s="1"/>
    </row>
    <row r="311" spans="4:8" ht="21" customHeight="1">
      <c r="D311" s="1"/>
      <c r="E311" s="1"/>
      <c r="F311" s="1"/>
      <c r="G311" s="1"/>
      <c r="H311" s="1"/>
    </row>
    <row r="312" spans="4:8" ht="21" customHeight="1">
      <c r="D312" s="1"/>
      <c r="E312" s="1"/>
      <c r="F312" s="1"/>
      <c r="G312" s="1"/>
      <c r="H312" s="1"/>
    </row>
    <row r="313" spans="4:8" ht="21" customHeight="1">
      <c r="D313" s="1"/>
      <c r="E313" s="1"/>
      <c r="F313" s="1"/>
      <c r="G313" s="1"/>
      <c r="H313" s="1"/>
    </row>
    <row r="314" spans="4:8" ht="21" customHeight="1">
      <c r="D314" s="1"/>
      <c r="E314" s="1"/>
      <c r="F314" s="1"/>
      <c r="G314" s="1"/>
      <c r="H314" s="1"/>
    </row>
    <row r="315" spans="4:8" ht="21" customHeight="1">
      <c r="D315" s="1"/>
      <c r="E315" s="1"/>
      <c r="F315" s="1"/>
      <c r="G315" s="1"/>
      <c r="H315" s="1"/>
    </row>
    <row r="316" spans="4:8" ht="21" customHeight="1">
      <c r="D316" s="1"/>
      <c r="E316" s="1"/>
      <c r="F316" s="1"/>
      <c r="G316" s="1"/>
      <c r="H316" s="1"/>
    </row>
    <row r="317" spans="4:8" ht="21" customHeight="1">
      <c r="D317" s="1"/>
      <c r="E317" s="1"/>
      <c r="F317" s="1"/>
      <c r="G317" s="1"/>
      <c r="H317" s="1"/>
    </row>
    <row r="318" spans="4:8" ht="21" customHeight="1">
      <c r="D318" s="1"/>
      <c r="E318" s="1"/>
      <c r="F318" s="1"/>
      <c r="G318" s="1"/>
      <c r="H318" s="1"/>
    </row>
    <row r="319" spans="4:8" ht="21" customHeight="1">
      <c r="D319" s="1"/>
      <c r="E319" s="1"/>
      <c r="F319" s="1"/>
      <c r="G319" s="1"/>
      <c r="H319" s="1"/>
    </row>
    <row r="320" spans="4:8" ht="21" customHeight="1">
      <c r="D320" s="1"/>
      <c r="E320" s="1"/>
      <c r="F320" s="1"/>
      <c r="G320" s="1"/>
      <c r="H320" s="1"/>
    </row>
    <row r="321" spans="4:8" ht="21" customHeight="1">
      <c r="D321" s="1"/>
      <c r="E321" s="1"/>
      <c r="F321" s="1"/>
      <c r="G321" s="1"/>
      <c r="H321" s="1"/>
    </row>
    <row r="322" spans="4:8" ht="21" customHeight="1">
      <c r="D322" s="1"/>
      <c r="E322" s="1"/>
      <c r="F322" s="1"/>
      <c r="G322" s="1"/>
      <c r="H322" s="1"/>
    </row>
    <row r="323" spans="4:8" ht="21" customHeight="1">
      <c r="D323" s="1"/>
      <c r="E323" s="1"/>
      <c r="F323" s="1"/>
      <c r="G323" s="1"/>
      <c r="H323" s="1"/>
    </row>
    <row r="324" spans="4:8" ht="21" customHeight="1">
      <c r="D324" s="1"/>
      <c r="E324" s="1"/>
      <c r="F324" s="1"/>
      <c r="G324" s="1"/>
      <c r="H324" s="1"/>
    </row>
    <row r="325" spans="4:8" ht="21" customHeight="1">
      <c r="D325" s="1"/>
      <c r="E325" s="1"/>
      <c r="F325" s="1"/>
      <c r="G325" s="1"/>
      <c r="H325" s="1"/>
    </row>
    <row r="326" spans="4:8" ht="21" customHeight="1">
      <c r="D326" s="1"/>
      <c r="E326" s="1"/>
      <c r="F326" s="1"/>
      <c r="G326" s="1"/>
      <c r="H326" s="1"/>
    </row>
    <row r="327" spans="4:8" ht="21" customHeight="1">
      <c r="D327" s="1"/>
      <c r="E327" s="1"/>
      <c r="F327" s="1"/>
      <c r="G327" s="1"/>
      <c r="H327" s="1"/>
    </row>
    <row r="328" spans="4:8" ht="21" customHeight="1">
      <c r="D328" s="1"/>
      <c r="E328" s="1"/>
      <c r="F328" s="1"/>
      <c r="G328" s="1"/>
      <c r="H328" s="1"/>
    </row>
    <row r="329" spans="4:8" ht="21" customHeight="1">
      <c r="D329" s="1"/>
      <c r="E329" s="1"/>
      <c r="F329" s="1"/>
      <c r="G329" s="1"/>
      <c r="H329" s="1"/>
    </row>
    <row r="330" spans="4:8" ht="21" customHeight="1">
      <c r="D330" s="1"/>
      <c r="E330" s="1"/>
      <c r="F330" s="1"/>
      <c r="G330" s="1"/>
      <c r="H330" s="1"/>
    </row>
    <row r="331" spans="4:8" ht="21" customHeight="1">
      <c r="D331" s="1"/>
      <c r="E331" s="1"/>
      <c r="F331" s="1"/>
      <c r="G331" s="1"/>
      <c r="H331" s="1"/>
    </row>
    <row r="332" spans="4:8" ht="21" customHeight="1">
      <c r="D332" s="1"/>
      <c r="E332" s="1"/>
      <c r="F332" s="1"/>
      <c r="G332" s="1"/>
      <c r="H332" s="1"/>
    </row>
    <row r="333" spans="4:8" ht="21" customHeight="1">
      <c r="D333" s="1"/>
      <c r="E333" s="1"/>
      <c r="F333" s="1"/>
      <c r="G333" s="1"/>
      <c r="H333" s="1"/>
    </row>
    <row r="334" spans="4:8" ht="21" customHeight="1">
      <c r="D334" s="1"/>
      <c r="E334" s="1"/>
      <c r="F334" s="1"/>
      <c r="G334" s="1"/>
      <c r="H334" s="1"/>
    </row>
    <row r="335" spans="4:8" ht="21" customHeight="1">
      <c r="D335" s="1"/>
      <c r="E335" s="1"/>
      <c r="F335" s="1"/>
      <c r="G335" s="1"/>
      <c r="H335" s="1"/>
    </row>
    <row r="336" spans="4:8" ht="21" customHeight="1">
      <c r="D336" s="1"/>
      <c r="E336" s="1"/>
      <c r="F336" s="1"/>
      <c r="G336" s="1"/>
      <c r="H336" s="1"/>
    </row>
    <row r="337" spans="4:8" ht="21" customHeight="1">
      <c r="D337" s="1"/>
      <c r="E337" s="1"/>
      <c r="F337" s="1"/>
      <c r="G337" s="1"/>
      <c r="H337" s="1"/>
    </row>
    <row r="338" spans="4:8" ht="21" customHeight="1">
      <c r="D338" s="1"/>
      <c r="E338" s="1"/>
      <c r="F338" s="1"/>
      <c r="G338" s="1"/>
      <c r="H338" s="1"/>
    </row>
    <row r="339" spans="4:8" ht="21" customHeight="1">
      <c r="D339" s="1"/>
      <c r="E339" s="1"/>
      <c r="F339" s="1"/>
      <c r="G339" s="1"/>
      <c r="H339" s="1"/>
    </row>
    <row r="340" spans="4:8" ht="21" customHeight="1">
      <c r="D340" s="1"/>
      <c r="E340" s="1"/>
      <c r="F340" s="1"/>
      <c r="G340" s="1"/>
      <c r="H340" s="1"/>
    </row>
    <row r="341" spans="4:8" ht="21" customHeight="1">
      <c r="D341" s="1"/>
      <c r="E341" s="1"/>
      <c r="F341" s="1"/>
      <c r="G341" s="1"/>
      <c r="H341" s="1"/>
    </row>
    <row r="342" spans="4:8" ht="21" customHeight="1">
      <c r="D342" s="1"/>
      <c r="E342" s="1"/>
      <c r="F342" s="1"/>
      <c r="G342" s="1"/>
      <c r="H342" s="1"/>
    </row>
    <row r="343" spans="4:8" ht="21" customHeight="1">
      <c r="D343" s="1"/>
      <c r="E343" s="1"/>
      <c r="F343" s="1"/>
      <c r="G343" s="1"/>
      <c r="H343" s="1"/>
    </row>
    <row r="344" spans="4:8" ht="21" customHeight="1">
      <c r="D344" s="1"/>
      <c r="E344" s="1"/>
      <c r="F344" s="1"/>
      <c r="G344" s="1"/>
      <c r="H344" s="1"/>
    </row>
    <row r="345" spans="4:8" ht="21" customHeight="1">
      <c r="D345" s="1"/>
      <c r="E345" s="1"/>
      <c r="F345" s="1"/>
      <c r="G345" s="1"/>
      <c r="H345" s="1"/>
    </row>
    <row r="346" spans="4:8" ht="21" customHeight="1">
      <c r="D346" s="1"/>
      <c r="E346" s="1"/>
      <c r="F346" s="1"/>
      <c r="G346" s="1"/>
      <c r="H346" s="1"/>
    </row>
    <row r="347" spans="4:8" ht="21" customHeight="1">
      <c r="D347" s="1"/>
      <c r="E347" s="1"/>
      <c r="F347" s="1"/>
      <c r="G347" s="1"/>
      <c r="H347" s="1"/>
    </row>
    <row r="348" spans="4:8" ht="21" customHeight="1">
      <c r="D348" s="1"/>
      <c r="E348" s="1"/>
      <c r="F348" s="1"/>
      <c r="G348" s="1"/>
      <c r="H348" s="1"/>
    </row>
    <row r="349" spans="4:8" ht="21" customHeight="1">
      <c r="D349" s="1"/>
      <c r="E349" s="1"/>
      <c r="F349" s="1"/>
      <c r="G349" s="1"/>
      <c r="H349" s="1"/>
    </row>
    <row r="350" spans="4:8" ht="21" customHeight="1">
      <c r="D350" s="1"/>
      <c r="E350" s="1"/>
      <c r="F350" s="1"/>
      <c r="G350" s="1"/>
      <c r="H350" s="1"/>
    </row>
    <row r="351" spans="4:8" ht="21" customHeight="1">
      <c r="D351" s="1"/>
      <c r="E351" s="1"/>
      <c r="F351" s="1"/>
      <c r="G351" s="1"/>
      <c r="H351" s="1"/>
    </row>
    <row r="352" spans="4:8" ht="21" customHeight="1">
      <c r="D352" s="1"/>
      <c r="E352" s="1"/>
      <c r="F352" s="1"/>
      <c r="G352" s="1"/>
      <c r="H352" s="1"/>
    </row>
    <row r="353" spans="4:8" ht="21" customHeight="1">
      <c r="D353" s="1"/>
      <c r="E353" s="1"/>
      <c r="F353" s="1"/>
      <c r="G353" s="1"/>
      <c r="H353" s="1"/>
    </row>
    <row r="354" spans="4:8" ht="21" customHeight="1">
      <c r="D354" s="1"/>
      <c r="E354" s="1"/>
      <c r="F354" s="1"/>
      <c r="G354" s="1"/>
      <c r="H354" s="1"/>
    </row>
    <row r="355" spans="4:8" ht="21" customHeight="1">
      <c r="D355" s="1"/>
      <c r="E355" s="1"/>
      <c r="F355" s="1"/>
      <c r="G355" s="1"/>
      <c r="H355" s="1"/>
    </row>
    <row r="356" spans="4:8" ht="21" customHeight="1">
      <c r="D356" s="1"/>
      <c r="E356" s="1"/>
      <c r="F356" s="1"/>
      <c r="G356" s="1"/>
      <c r="H356" s="1"/>
    </row>
    <row r="357" spans="4:8" ht="21" customHeight="1">
      <c r="D357" s="1"/>
      <c r="E357" s="1"/>
      <c r="F357" s="1"/>
      <c r="G357" s="1"/>
      <c r="H357" s="1"/>
    </row>
    <row r="358" spans="4:8" ht="21" customHeight="1">
      <c r="D358" s="1"/>
      <c r="E358" s="1"/>
      <c r="F358" s="1"/>
      <c r="G358" s="1"/>
      <c r="H358" s="1"/>
    </row>
    <row r="359" spans="4:8" ht="21" customHeight="1">
      <c r="D359" s="1"/>
      <c r="E359" s="1"/>
      <c r="F359" s="1"/>
      <c r="G359" s="1"/>
      <c r="H359" s="1"/>
    </row>
    <row r="360" spans="4:8" ht="21" customHeight="1">
      <c r="D360" s="1"/>
      <c r="E360" s="1"/>
      <c r="F360" s="1"/>
      <c r="G360" s="1"/>
      <c r="H360" s="1"/>
    </row>
    <row r="361" spans="4:8" ht="21" customHeight="1">
      <c r="D361" s="1"/>
      <c r="E361" s="1"/>
      <c r="F361" s="1"/>
      <c r="G361" s="1"/>
      <c r="H361" s="1"/>
    </row>
    <row r="362" spans="4:8" ht="21" customHeight="1">
      <c r="D362" s="1"/>
      <c r="E362" s="1"/>
      <c r="F362" s="1"/>
      <c r="G362" s="1"/>
      <c r="H362" s="1"/>
    </row>
    <row r="363" spans="4:8" ht="21" customHeight="1">
      <c r="D363" s="1"/>
      <c r="E363" s="1"/>
      <c r="F363" s="1"/>
      <c r="G363" s="1"/>
      <c r="H363" s="1"/>
    </row>
    <row r="364" spans="4:8" ht="21" customHeight="1">
      <c r="D364" s="1"/>
      <c r="E364" s="1"/>
      <c r="F364" s="1"/>
      <c r="G364" s="1"/>
      <c r="H364" s="1"/>
    </row>
    <row r="365" spans="4:8" ht="21" customHeight="1">
      <c r="D365" s="1"/>
      <c r="E365" s="1"/>
      <c r="F365" s="1"/>
      <c r="G365" s="1"/>
      <c r="H365" s="1"/>
    </row>
    <row r="366" spans="4:8" ht="21" customHeight="1">
      <c r="D366" s="1"/>
      <c r="E366" s="1"/>
      <c r="F366" s="1"/>
      <c r="G366" s="1"/>
      <c r="H366" s="1"/>
    </row>
    <row r="367" spans="4:8" ht="21" customHeight="1">
      <c r="D367" s="1"/>
      <c r="E367" s="1"/>
      <c r="F367" s="1"/>
      <c r="G367" s="1"/>
      <c r="H367" s="1"/>
    </row>
    <row r="368" spans="4:8" ht="21" customHeight="1">
      <c r="D368" s="1"/>
      <c r="E368" s="1"/>
      <c r="F368" s="1"/>
      <c r="G368" s="1"/>
      <c r="H368" s="1"/>
    </row>
    <row r="369" spans="4:8" ht="21" customHeight="1">
      <c r="D369" s="1"/>
      <c r="E369" s="1"/>
      <c r="F369" s="1"/>
      <c r="G369" s="1"/>
      <c r="H369" s="1"/>
    </row>
    <row r="370" spans="4:8" ht="21" customHeight="1">
      <c r="D370" s="1"/>
      <c r="E370" s="1"/>
      <c r="F370" s="1"/>
      <c r="G370" s="1"/>
      <c r="H370" s="1"/>
    </row>
    <row r="371" spans="4:8" ht="21" customHeight="1">
      <c r="D371" s="1"/>
      <c r="E371" s="1"/>
      <c r="F371" s="1"/>
      <c r="G371" s="1"/>
      <c r="H371" s="1"/>
    </row>
    <row r="372" spans="4:8" ht="21" customHeight="1">
      <c r="D372" s="1"/>
      <c r="E372" s="1"/>
      <c r="F372" s="1"/>
      <c r="G372" s="1"/>
      <c r="H372" s="1"/>
    </row>
    <row r="373" spans="4:8" ht="21" customHeight="1">
      <c r="D373" s="1"/>
      <c r="E373" s="1"/>
      <c r="F373" s="1"/>
      <c r="G373" s="1"/>
      <c r="H373" s="1"/>
    </row>
    <row r="374" spans="4:8" ht="21" customHeight="1">
      <c r="D374" s="1"/>
      <c r="E374" s="1"/>
      <c r="F374" s="1"/>
      <c r="G374" s="1"/>
      <c r="H374" s="1"/>
    </row>
    <row r="375" spans="4:8" ht="21" customHeight="1">
      <c r="D375" s="1"/>
      <c r="E375" s="1"/>
      <c r="F375" s="1"/>
      <c r="G375" s="1"/>
      <c r="H375" s="1"/>
    </row>
    <row r="376" spans="4:8" ht="21" customHeight="1">
      <c r="D376" s="1"/>
      <c r="E376" s="1"/>
      <c r="F376" s="1"/>
      <c r="G376" s="1"/>
      <c r="H376" s="1"/>
    </row>
    <row r="377" spans="4:8" ht="21" customHeight="1">
      <c r="D377" s="1"/>
      <c r="E377" s="1"/>
      <c r="F377" s="1"/>
      <c r="G377" s="1"/>
      <c r="H377" s="1"/>
    </row>
    <row r="378" spans="4:8" ht="21" customHeight="1">
      <c r="D378" s="1"/>
      <c r="E378" s="1"/>
      <c r="F378" s="1"/>
      <c r="G378" s="1"/>
      <c r="H378" s="1"/>
    </row>
    <row r="379" spans="4:8" ht="21" customHeight="1">
      <c r="D379" s="1"/>
      <c r="E379" s="1"/>
      <c r="F379" s="1"/>
      <c r="G379" s="1"/>
      <c r="H379" s="1"/>
    </row>
    <row r="380" spans="4:8" ht="21" customHeight="1">
      <c r="D380" s="1"/>
      <c r="E380" s="1"/>
      <c r="F380" s="1"/>
      <c r="G380" s="1"/>
      <c r="H380" s="1"/>
    </row>
    <row r="381" spans="4:8" ht="21" customHeight="1">
      <c r="D381" s="1"/>
      <c r="E381" s="1"/>
      <c r="F381" s="1"/>
      <c r="G381" s="1"/>
      <c r="H381" s="1"/>
    </row>
    <row r="382" spans="4:8" ht="21" customHeight="1">
      <c r="D382" s="1"/>
      <c r="E382" s="1"/>
      <c r="F382" s="1"/>
      <c r="G382" s="1"/>
      <c r="H382" s="1"/>
    </row>
    <row r="383" spans="4:8" ht="21" customHeight="1">
      <c r="D383" s="1"/>
      <c r="E383" s="1"/>
      <c r="F383" s="1"/>
      <c r="G383" s="1"/>
      <c r="H383" s="1"/>
    </row>
    <row r="384" spans="4:8" ht="21" customHeight="1">
      <c r="D384" s="1"/>
      <c r="E384" s="1"/>
      <c r="F384" s="1"/>
      <c r="G384" s="1"/>
      <c r="H384" s="1"/>
    </row>
    <row r="385" spans="4:8" ht="21" customHeight="1">
      <c r="D385" s="1"/>
      <c r="E385" s="1"/>
      <c r="F385" s="1"/>
      <c r="G385" s="1"/>
      <c r="H385" s="1"/>
    </row>
    <row r="386" spans="4:8" ht="21" customHeight="1">
      <c r="D386" s="1"/>
      <c r="E386" s="1"/>
      <c r="F386" s="1"/>
      <c r="G386" s="1"/>
      <c r="H386" s="1"/>
    </row>
    <row r="387" spans="4:8" ht="21" customHeight="1">
      <c r="D387" s="1"/>
      <c r="E387" s="1"/>
      <c r="F387" s="1"/>
      <c r="G387" s="1"/>
      <c r="H387" s="1"/>
    </row>
    <row r="388" spans="4:8" ht="21" customHeight="1">
      <c r="D388" s="1"/>
      <c r="E388" s="1"/>
      <c r="F388" s="1"/>
      <c r="G388" s="1"/>
      <c r="H388" s="1"/>
    </row>
    <row r="389" spans="4:8" ht="21" customHeight="1">
      <c r="D389" s="1"/>
      <c r="E389" s="1"/>
      <c r="F389" s="1"/>
      <c r="G389" s="1"/>
      <c r="H389" s="1"/>
    </row>
    <row r="390" spans="4:8" ht="21" customHeight="1">
      <c r="D390" s="1"/>
      <c r="E390" s="1"/>
      <c r="F390" s="1"/>
      <c r="G390" s="1"/>
      <c r="H390" s="1"/>
    </row>
    <row r="391" spans="4:8" ht="21" customHeight="1">
      <c r="D391" s="1"/>
      <c r="E391" s="1"/>
      <c r="F391" s="1"/>
      <c r="G391" s="1"/>
      <c r="H391" s="1"/>
    </row>
    <row r="392" spans="4:8" ht="21" customHeight="1">
      <c r="D392" s="1"/>
      <c r="E392" s="1"/>
      <c r="F392" s="1"/>
      <c r="G392" s="1"/>
      <c r="H392" s="1"/>
    </row>
    <row r="393" spans="4:8" ht="21" customHeight="1">
      <c r="D393" s="1"/>
      <c r="E393" s="1"/>
      <c r="F393" s="1"/>
      <c r="G393" s="1"/>
      <c r="H393" s="1"/>
    </row>
    <row r="394" spans="4:8" ht="21" customHeight="1">
      <c r="D394" s="1"/>
      <c r="E394" s="1"/>
      <c r="F394" s="1"/>
      <c r="G394" s="1"/>
      <c r="H394" s="1"/>
    </row>
    <row r="395" spans="4:8" ht="21" customHeight="1">
      <c r="D395" s="1"/>
      <c r="E395" s="1"/>
      <c r="F395" s="1"/>
      <c r="G395" s="1"/>
      <c r="H395" s="1"/>
    </row>
    <row r="396" spans="4:8" ht="21" customHeight="1">
      <c r="D396" s="1"/>
      <c r="E396" s="1"/>
      <c r="F396" s="1"/>
      <c r="G396" s="1"/>
      <c r="H396" s="1"/>
    </row>
    <row r="397" spans="4:8" ht="21" customHeight="1">
      <c r="D397" s="1"/>
      <c r="E397" s="1"/>
      <c r="F397" s="1"/>
      <c r="G397" s="1"/>
      <c r="H397" s="1"/>
    </row>
    <row r="398" spans="4:8" ht="21" customHeight="1">
      <c r="D398" s="1"/>
      <c r="E398" s="1"/>
      <c r="F398" s="1"/>
      <c r="G398" s="1"/>
      <c r="H398" s="1"/>
    </row>
    <row r="399" spans="4:8" ht="21" customHeight="1">
      <c r="D399" s="1"/>
      <c r="E399" s="1"/>
      <c r="F399" s="1"/>
      <c r="G399" s="1"/>
      <c r="H399" s="1"/>
    </row>
    <row r="400" spans="4:8" ht="21" customHeight="1">
      <c r="D400" s="1"/>
      <c r="E400" s="1"/>
      <c r="F400" s="1"/>
      <c r="G400" s="1"/>
      <c r="H400" s="1"/>
    </row>
    <row r="401" spans="4:8" ht="21" customHeight="1">
      <c r="D401" s="1"/>
      <c r="E401" s="1"/>
      <c r="F401" s="1"/>
      <c r="G401" s="1"/>
      <c r="H401" s="1"/>
    </row>
    <row r="402" spans="4:8" ht="21" customHeight="1">
      <c r="D402" s="1"/>
      <c r="E402" s="1"/>
      <c r="F402" s="1"/>
      <c r="G402" s="1"/>
      <c r="H402" s="1"/>
    </row>
    <row r="403" spans="4:8" ht="21" customHeight="1">
      <c r="D403" s="1"/>
      <c r="E403" s="1"/>
      <c r="F403" s="1"/>
      <c r="G403" s="1"/>
      <c r="H403" s="1"/>
    </row>
    <row r="404" spans="4:8" ht="21" customHeight="1">
      <c r="D404" s="1"/>
      <c r="E404" s="1"/>
      <c r="F404" s="1"/>
      <c r="G404" s="1"/>
      <c r="H404" s="1"/>
    </row>
    <row r="405" spans="4:8" ht="21" customHeight="1">
      <c r="D405" s="1"/>
      <c r="E405" s="1"/>
      <c r="F405" s="1"/>
      <c r="G405" s="1"/>
      <c r="H405" s="1"/>
    </row>
    <row r="406" spans="4:8" ht="21" customHeight="1">
      <c r="D406" s="1"/>
      <c r="E406" s="1"/>
      <c r="F406" s="1"/>
      <c r="G406" s="1"/>
      <c r="H406" s="1"/>
    </row>
    <row r="407" spans="4:8" ht="21" customHeight="1">
      <c r="D407" s="1"/>
      <c r="E407" s="1"/>
      <c r="F407" s="1"/>
      <c r="G407" s="1"/>
      <c r="H407" s="1"/>
    </row>
    <row r="408" spans="4:8" ht="21" customHeight="1">
      <c r="D408" s="1"/>
      <c r="E408" s="1"/>
      <c r="F408" s="1"/>
      <c r="G408" s="1"/>
      <c r="H408" s="1"/>
    </row>
    <row r="409" spans="4:8" ht="21" customHeight="1">
      <c r="D409" s="1"/>
      <c r="E409" s="1"/>
      <c r="F409" s="1"/>
      <c r="G409" s="1"/>
      <c r="H409" s="1"/>
    </row>
    <row r="410" spans="4:8" ht="21" customHeight="1">
      <c r="D410" s="1"/>
      <c r="E410" s="1"/>
      <c r="F410" s="1"/>
      <c r="G410" s="1"/>
      <c r="H410" s="1"/>
    </row>
    <row r="411" spans="4:8" ht="21" customHeight="1">
      <c r="D411" s="1"/>
      <c r="E411" s="1"/>
      <c r="F411" s="1"/>
      <c r="G411" s="1"/>
      <c r="H411" s="1"/>
    </row>
    <row r="412" spans="4:8" ht="21" customHeight="1">
      <c r="D412" s="1"/>
      <c r="E412" s="1"/>
      <c r="F412" s="1"/>
      <c r="G412" s="1"/>
      <c r="H412" s="1"/>
    </row>
    <row r="413" spans="4:8" ht="21" customHeight="1">
      <c r="D413" s="1"/>
      <c r="E413" s="1"/>
      <c r="F413" s="1"/>
      <c r="G413" s="1"/>
      <c r="H413" s="1"/>
    </row>
    <row r="414" spans="4:8" ht="21" customHeight="1">
      <c r="D414" s="1"/>
      <c r="E414" s="1"/>
      <c r="F414" s="1"/>
      <c r="G414" s="1"/>
      <c r="H414" s="1"/>
    </row>
    <row r="415" spans="4:8" ht="21" customHeight="1">
      <c r="D415" s="1"/>
      <c r="E415" s="1"/>
      <c r="F415" s="1"/>
      <c r="G415" s="1"/>
      <c r="H415" s="1"/>
    </row>
    <row r="416" spans="4:8" ht="21" customHeight="1">
      <c r="D416" s="1"/>
      <c r="E416" s="1"/>
      <c r="F416" s="1"/>
      <c r="G416" s="1"/>
      <c r="H416" s="1"/>
    </row>
    <row r="417" spans="4:8" ht="21" customHeight="1">
      <c r="D417" s="1"/>
      <c r="E417" s="1"/>
      <c r="F417" s="1"/>
      <c r="G417" s="1"/>
      <c r="H417" s="1"/>
    </row>
    <row r="418" spans="4:8" ht="21" customHeight="1">
      <c r="D418" s="1"/>
      <c r="E418" s="1"/>
      <c r="F418" s="1"/>
      <c r="G418" s="1"/>
      <c r="H418" s="1"/>
    </row>
    <row r="419" spans="4:8" ht="21" customHeight="1">
      <c r="D419" s="1"/>
      <c r="E419" s="1"/>
      <c r="F419" s="1"/>
      <c r="G419" s="1"/>
      <c r="H419" s="1"/>
    </row>
    <row r="420" spans="4:8" ht="21" customHeight="1">
      <c r="D420" s="1"/>
      <c r="E420" s="1"/>
      <c r="F420" s="1"/>
      <c r="G420" s="1"/>
      <c r="H420" s="1"/>
    </row>
    <row r="421" spans="4:8" ht="21" customHeight="1">
      <c r="D421" s="1"/>
      <c r="E421" s="1"/>
      <c r="F421" s="1"/>
      <c r="G421" s="1"/>
      <c r="H421" s="1"/>
    </row>
    <row r="422" spans="4:8" ht="21" customHeight="1">
      <c r="D422" s="1"/>
      <c r="E422" s="1"/>
      <c r="F422" s="1"/>
      <c r="G422" s="1"/>
      <c r="H422" s="1"/>
    </row>
    <row r="423" spans="4:8" ht="21" customHeight="1">
      <c r="D423" s="1"/>
      <c r="E423" s="1"/>
      <c r="F423" s="1"/>
      <c r="G423" s="1"/>
      <c r="H423" s="1"/>
    </row>
    <row r="424" spans="4:8" ht="21" customHeight="1">
      <c r="D424" s="1"/>
      <c r="E424" s="1"/>
      <c r="F424" s="1"/>
      <c r="G424" s="1"/>
      <c r="H424" s="1"/>
    </row>
    <row r="425" spans="4:8" ht="21" customHeight="1">
      <c r="D425" s="1"/>
      <c r="E425" s="1"/>
      <c r="F425" s="1"/>
      <c r="G425" s="1"/>
      <c r="H425" s="1"/>
    </row>
    <row r="426" spans="4:8" ht="21" customHeight="1">
      <c r="D426" s="1"/>
      <c r="E426" s="1"/>
      <c r="F426" s="1"/>
      <c r="G426" s="1"/>
      <c r="H426" s="1"/>
    </row>
    <row r="427" spans="4:8" ht="21" customHeight="1">
      <c r="D427" s="1"/>
      <c r="E427" s="1"/>
      <c r="F427" s="1"/>
      <c r="G427" s="1"/>
      <c r="H427" s="1"/>
    </row>
    <row r="428" spans="4:8" ht="21" customHeight="1">
      <c r="D428" s="1"/>
      <c r="E428" s="1"/>
      <c r="F428" s="1"/>
      <c r="G428" s="1"/>
      <c r="H428" s="1"/>
    </row>
    <row r="429" spans="4:8" ht="21" customHeight="1">
      <c r="D429" s="1"/>
      <c r="E429" s="1"/>
      <c r="F429" s="1"/>
      <c r="G429" s="1"/>
      <c r="H429" s="1"/>
    </row>
    <row r="430" spans="4:8" ht="21" customHeight="1">
      <c r="D430" s="1"/>
      <c r="E430" s="1"/>
      <c r="F430" s="1"/>
      <c r="G430" s="1"/>
      <c r="H430" s="1"/>
    </row>
    <row r="431" spans="4:8" ht="21" customHeight="1">
      <c r="D431" s="1"/>
      <c r="E431" s="1"/>
      <c r="F431" s="1"/>
      <c r="G431" s="1"/>
      <c r="H431" s="1"/>
    </row>
    <row r="432" spans="4:8" ht="21" customHeight="1">
      <c r="D432" s="1"/>
      <c r="E432" s="1"/>
      <c r="F432" s="1"/>
      <c r="G432" s="1"/>
      <c r="H432" s="1"/>
    </row>
    <row r="433" spans="4:8" ht="21" customHeight="1">
      <c r="D433" s="1"/>
      <c r="E433" s="1"/>
      <c r="F433" s="1"/>
      <c r="G433" s="1"/>
      <c r="H433" s="1"/>
    </row>
    <row r="434" spans="4:8" ht="21" customHeight="1">
      <c r="D434" s="1"/>
      <c r="E434" s="1"/>
      <c r="F434" s="1"/>
      <c r="G434" s="1"/>
      <c r="H434" s="1"/>
    </row>
    <row r="435" spans="4:8" ht="21" customHeight="1">
      <c r="D435" s="1"/>
      <c r="E435" s="1"/>
      <c r="F435" s="1"/>
      <c r="G435" s="1"/>
      <c r="H435" s="1"/>
    </row>
    <row r="436" spans="4:8" ht="21" customHeight="1">
      <c r="D436" s="1"/>
      <c r="E436" s="1"/>
      <c r="F436" s="1"/>
      <c r="G436" s="1"/>
      <c r="H436" s="1"/>
    </row>
    <row r="437" spans="4:8" ht="21" customHeight="1">
      <c r="D437" s="1"/>
      <c r="E437" s="1"/>
      <c r="F437" s="1"/>
      <c r="G437" s="1"/>
      <c r="H437" s="1"/>
    </row>
    <row r="438" spans="4:8" ht="21" customHeight="1">
      <c r="D438" s="1"/>
      <c r="E438" s="1"/>
      <c r="F438" s="1"/>
      <c r="G438" s="1"/>
      <c r="H438" s="1"/>
    </row>
    <row r="439" spans="4:8" ht="21" customHeight="1">
      <c r="D439" s="1"/>
      <c r="E439" s="1"/>
      <c r="F439" s="1"/>
      <c r="G439" s="1"/>
      <c r="H439" s="1"/>
    </row>
    <row r="440" spans="4:8" ht="21" customHeight="1">
      <c r="D440" s="1"/>
      <c r="E440" s="1"/>
      <c r="F440" s="1"/>
      <c r="G440" s="1"/>
      <c r="H440" s="1"/>
    </row>
    <row r="441" spans="4:8" ht="21" customHeight="1">
      <c r="D441" s="1"/>
      <c r="E441" s="1"/>
      <c r="F441" s="1"/>
      <c r="G441" s="1"/>
      <c r="H441" s="1"/>
    </row>
    <row r="442" spans="4:8" ht="21" customHeight="1">
      <c r="D442" s="1"/>
      <c r="E442" s="1"/>
      <c r="F442" s="1"/>
      <c r="G442" s="1"/>
      <c r="H442" s="1"/>
    </row>
    <row r="443" spans="4:8" ht="21" customHeight="1">
      <c r="D443" s="1"/>
      <c r="E443" s="1"/>
      <c r="F443" s="1"/>
      <c r="G443" s="1"/>
      <c r="H443" s="1"/>
    </row>
    <row r="444" spans="4:8" ht="21" customHeight="1">
      <c r="D444" s="1"/>
      <c r="E444" s="1"/>
      <c r="F444" s="1"/>
      <c r="G444" s="1"/>
      <c r="H444" s="1"/>
    </row>
    <row r="445" spans="6:8" ht="21" customHeight="1">
      <c r="F445" s="780" t="s">
        <v>615</v>
      </c>
      <c r="G445" s="780"/>
      <c r="H445" s="1"/>
    </row>
    <row r="446" spans="5:8" ht="21" customHeight="1">
      <c r="E446" s="746" t="s">
        <v>603</v>
      </c>
      <c r="F446" s="746"/>
      <c r="G446" s="746"/>
      <c r="H446" s="1"/>
    </row>
    <row r="447" spans="1:8" ht="21" customHeight="1">
      <c r="A447" s="744" t="s">
        <v>89</v>
      </c>
      <c r="B447" s="744"/>
      <c r="C447" s="744"/>
      <c r="D447" s="744"/>
      <c r="E447" s="744"/>
      <c r="F447" s="744"/>
      <c r="G447" s="744"/>
      <c r="H447" s="1"/>
    </row>
    <row r="448" spans="1:8" ht="21" customHeight="1" thickBot="1">
      <c r="A448" s="174" t="s">
        <v>121</v>
      </c>
      <c r="B448" s="174"/>
      <c r="C448" s="174"/>
      <c r="D448" s="223"/>
      <c r="H448" s="1"/>
    </row>
    <row r="449" spans="1:8" ht="21" customHeight="1" thickBot="1">
      <c r="A449" s="769" t="s">
        <v>52</v>
      </c>
      <c r="B449" s="781"/>
      <c r="C449" s="781"/>
      <c r="D449" s="782"/>
      <c r="E449" s="588" t="s">
        <v>47</v>
      </c>
      <c r="F449" s="225" t="s">
        <v>9</v>
      </c>
      <c r="G449" s="226" t="s">
        <v>10</v>
      </c>
      <c r="H449" s="1"/>
    </row>
    <row r="450" spans="1:8" ht="21" customHeight="1">
      <c r="A450" s="185" t="s">
        <v>612</v>
      </c>
      <c r="B450" s="186"/>
      <c r="C450" s="186"/>
      <c r="D450" s="186"/>
      <c r="E450" s="714" t="s">
        <v>242</v>
      </c>
      <c r="F450" s="715">
        <v>300000</v>
      </c>
      <c r="G450" s="228"/>
      <c r="H450" s="1"/>
    </row>
    <row r="451" spans="1:8" ht="21" customHeight="1">
      <c r="A451" s="185"/>
      <c r="B451" s="186" t="s">
        <v>109</v>
      </c>
      <c r="C451" s="186"/>
      <c r="D451" s="186"/>
      <c r="E451" s="590" t="s">
        <v>242</v>
      </c>
      <c r="F451" s="590"/>
      <c r="G451" s="231">
        <v>300000</v>
      </c>
      <c r="H451" s="1"/>
    </row>
    <row r="452" spans="1:8" ht="21" customHeight="1">
      <c r="A452" s="232"/>
      <c r="B452" s="233"/>
      <c r="C452" s="233"/>
      <c r="D452" s="233"/>
      <c r="E452" s="590"/>
      <c r="F452" s="230"/>
      <c r="G452" s="231"/>
      <c r="H452" s="1"/>
    </row>
    <row r="453" spans="1:8" ht="21" customHeight="1">
      <c r="A453" s="232"/>
      <c r="B453" s="233"/>
      <c r="C453" s="233"/>
      <c r="D453" s="233"/>
      <c r="E453" s="590"/>
      <c r="F453" s="230"/>
      <c r="G453" s="231"/>
      <c r="H453" s="1"/>
    </row>
    <row r="454" spans="1:8" ht="21" customHeight="1">
      <c r="A454" s="232"/>
      <c r="B454" s="233"/>
      <c r="C454" s="233"/>
      <c r="D454" s="233"/>
      <c r="E454" s="590"/>
      <c r="F454" s="230"/>
      <c r="G454" s="231"/>
      <c r="H454" s="1"/>
    </row>
    <row r="455" spans="1:8" ht="21.75" customHeight="1">
      <c r="A455" s="232"/>
      <c r="B455" s="233"/>
      <c r="C455" s="233"/>
      <c r="D455" s="233"/>
      <c r="E455" s="590"/>
      <c r="F455" s="230"/>
      <c r="G455" s="231"/>
      <c r="H455" s="1"/>
    </row>
    <row r="456" spans="1:8" ht="19.5" customHeight="1">
      <c r="A456" s="232"/>
      <c r="B456" s="233"/>
      <c r="C456" s="233"/>
      <c r="D456" s="233"/>
      <c r="E456" s="590"/>
      <c r="F456" s="234"/>
      <c r="G456" s="231"/>
      <c r="H456" s="1"/>
    </row>
    <row r="457" spans="1:8" ht="19.5" customHeight="1">
      <c r="A457" s="232"/>
      <c r="B457" s="233"/>
      <c r="C457" s="233"/>
      <c r="D457" s="233"/>
      <c r="E457" s="590"/>
      <c r="F457" s="234"/>
      <c r="G457" s="231"/>
      <c r="H457" s="1"/>
    </row>
    <row r="458" spans="1:8" ht="19.5" customHeight="1" thickBot="1">
      <c r="A458" s="235"/>
      <c r="B458" s="236"/>
      <c r="C458" s="236"/>
      <c r="D458" s="237"/>
      <c r="E458" s="591"/>
      <c r="F458" s="238">
        <f>SUM(F450:F451)</f>
        <v>300000</v>
      </c>
      <c r="G458" s="239">
        <f>SUM(G451:G451)</f>
        <v>300000</v>
      </c>
      <c r="H458" s="1"/>
    </row>
    <row r="459" spans="1:8" ht="19.5" customHeight="1" thickTop="1">
      <c r="A459" s="217" t="s">
        <v>90</v>
      </c>
      <c r="B459" s="240" t="s">
        <v>613</v>
      </c>
      <c r="C459" s="241"/>
      <c r="D459" s="242"/>
      <c r="E459" s="532"/>
      <c r="F459" s="171"/>
      <c r="G459" s="686"/>
      <c r="H459" s="1"/>
    </row>
    <row r="460" spans="1:8" ht="19.5" customHeight="1">
      <c r="A460" s="244"/>
      <c r="B460" s="240" t="s">
        <v>171</v>
      </c>
      <c r="C460" s="241"/>
      <c r="D460" s="242"/>
      <c r="E460" s="532"/>
      <c r="F460" s="171"/>
      <c r="G460" s="683"/>
      <c r="H460" s="1"/>
    </row>
    <row r="461" spans="1:8" ht="19.5" customHeight="1">
      <c r="A461" s="245"/>
      <c r="B461" s="788" t="s">
        <v>614</v>
      </c>
      <c r="C461" s="788"/>
      <c r="D461" s="788"/>
      <c r="E461" s="170" t="s">
        <v>46</v>
      </c>
      <c r="F461" s="532">
        <v>300000</v>
      </c>
      <c r="G461" s="683" t="s">
        <v>30</v>
      </c>
      <c r="H461" s="1"/>
    </row>
    <row r="462" spans="1:8" ht="19.5" customHeight="1">
      <c r="A462" s="245"/>
      <c r="B462" s="240" t="s">
        <v>663</v>
      </c>
      <c r="C462" s="246"/>
      <c r="D462" s="246"/>
      <c r="E462" s="170"/>
      <c r="F462" s="537"/>
      <c r="G462" s="683"/>
      <c r="H462" s="1"/>
    </row>
    <row r="463" spans="1:8" ht="19.5" customHeight="1">
      <c r="A463" s="245"/>
      <c r="B463" s="529" t="s">
        <v>415</v>
      </c>
      <c r="C463" s="729" t="s">
        <v>665</v>
      </c>
      <c r="D463" s="246"/>
      <c r="E463" s="170"/>
      <c r="F463" s="532"/>
      <c r="G463" s="683"/>
      <c r="H463" s="1"/>
    </row>
    <row r="464" spans="1:8" ht="19.5" customHeight="1">
      <c r="A464" s="245"/>
      <c r="B464" s="529" t="s">
        <v>416</v>
      </c>
      <c r="C464" s="246"/>
      <c r="D464" s="246"/>
      <c r="E464" s="170"/>
      <c r="F464" s="532"/>
      <c r="G464" s="683"/>
      <c r="H464" s="1"/>
    </row>
    <row r="465" spans="1:8" ht="19.5" customHeight="1">
      <c r="A465" s="245"/>
      <c r="B465" s="540" t="s">
        <v>417</v>
      </c>
      <c r="C465" s="246"/>
      <c r="D465" s="246"/>
      <c r="E465" s="170"/>
      <c r="F465" s="537"/>
      <c r="G465" s="683"/>
      <c r="H465" s="1"/>
    </row>
    <row r="466" spans="1:8" ht="19.5" customHeight="1">
      <c r="A466" s="245"/>
      <c r="B466" s="539" t="s">
        <v>664</v>
      </c>
      <c r="C466" s="246"/>
      <c r="D466" s="246"/>
      <c r="E466" s="170"/>
      <c r="F466" s="537"/>
      <c r="G466" s="683"/>
      <c r="H466" s="1"/>
    </row>
    <row r="467" spans="1:8" ht="19.5" customHeight="1">
      <c r="A467" s="245"/>
      <c r="B467" s="529" t="s">
        <v>415</v>
      </c>
      <c r="C467" s="246" t="s">
        <v>666</v>
      </c>
      <c r="D467" s="246"/>
      <c r="E467" s="170"/>
      <c r="F467" s="537"/>
      <c r="G467" s="683"/>
      <c r="H467" s="1"/>
    </row>
    <row r="468" spans="1:8" ht="19.5" customHeight="1">
      <c r="A468" s="245"/>
      <c r="B468" s="529" t="s">
        <v>416</v>
      </c>
      <c r="C468" s="246"/>
      <c r="D468" s="246"/>
      <c r="E468" s="170"/>
      <c r="F468" s="537"/>
      <c r="G468" s="683"/>
      <c r="H468" s="1"/>
    </row>
    <row r="469" spans="1:8" ht="19.5" customHeight="1">
      <c r="A469" s="245"/>
      <c r="B469" s="540" t="s">
        <v>417</v>
      </c>
      <c r="C469" s="246"/>
      <c r="D469" s="246"/>
      <c r="E469" s="170"/>
      <c r="F469" s="537"/>
      <c r="G469" s="683"/>
      <c r="H469" s="1"/>
    </row>
    <row r="470" spans="1:8" ht="19.5" customHeight="1">
      <c r="A470" s="245"/>
      <c r="B470" s="240" t="s">
        <v>667</v>
      </c>
      <c r="C470" s="246"/>
      <c r="D470" s="246"/>
      <c r="E470" s="170"/>
      <c r="F470" s="537"/>
      <c r="G470" s="683"/>
      <c r="H470" s="1"/>
    </row>
    <row r="471" spans="1:8" ht="16.5" customHeight="1">
      <c r="A471" s="245"/>
      <c r="B471" s="240" t="s">
        <v>668</v>
      </c>
      <c r="C471" s="246"/>
      <c r="D471" s="246"/>
      <c r="E471" s="170"/>
      <c r="F471" s="537"/>
      <c r="G471" s="683"/>
      <c r="H471" s="1"/>
    </row>
    <row r="472" spans="1:8" ht="27" customHeight="1">
      <c r="A472" s="245"/>
      <c r="B472" s="159" t="s">
        <v>418</v>
      </c>
      <c r="C472" s="246"/>
      <c r="D472" s="246"/>
      <c r="E472" s="170"/>
      <c r="F472" s="537"/>
      <c r="G472" s="683"/>
      <c r="H472" s="1"/>
    </row>
    <row r="473" spans="1:8" ht="27" customHeight="1">
      <c r="A473" s="245"/>
      <c r="B473" s="539" t="s">
        <v>669</v>
      </c>
      <c r="C473" s="246"/>
      <c r="D473" s="246"/>
      <c r="E473" s="170"/>
      <c r="F473" s="537"/>
      <c r="G473" s="683"/>
      <c r="H473" s="1"/>
    </row>
    <row r="474" spans="1:8" ht="23.25" customHeight="1">
      <c r="A474" s="245"/>
      <c r="B474" s="730" t="s">
        <v>670</v>
      </c>
      <c r="C474" s="730"/>
      <c r="D474" s="730"/>
      <c r="E474" s="170"/>
      <c r="F474" s="537"/>
      <c r="G474" s="683"/>
      <c r="H474" s="1"/>
    </row>
    <row r="475" spans="1:8" ht="21" customHeight="1">
      <c r="A475" s="245"/>
      <c r="B475" s="529" t="s">
        <v>415</v>
      </c>
      <c r="C475" s="246" t="s">
        <v>671</v>
      </c>
      <c r="D475" s="246"/>
      <c r="E475" s="170"/>
      <c r="F475" s="537"/>
      <c r="G475" s="683"/>
      <c r="H475" s="1"/>
    </row>
    <row r="476" spans="1:8" ht="16.5" customHeight="1">
      <c r="A476" s="245"/>
      <c r="B476" s="529" t="s">
        <v>416</v>
      </c>
      <c r="C476" s="246"/>
      <c r="D476" s="246"/>
      <c r="E476" s="170"/>
      <c r="F476" s="537"/>
      <c r="G476" s="683"/>
      <c r="H476" s="1"/>
    </row>
    <row r="477" spans="1:8" ht="21" customHeight="1">
      <c r="A477" s="245"/>
      <c r="B477" s="540" t="s">
        <v>417</v>
      </c>
      <c r="C477" s="246"/>
      <c r="D477" s="246"/>
      <c r="E477" s="170"/>
      <c r="F477" s="537"/>
      <c r="G477" s="683"/>
      <c r="H477" s="1"/>
    </row>
    <row r="478" spans="1:8" ht="21" customHeight="1">
      <c r="A478" s="245"/>
      <c r="B478" s="730" t="s">
        <v>672</v>
      </c>
      <c r="C478" s="730"/>
      <c r="D478" s="730"/>
      <c r="E478" s="170"/>
      <c r="F478" s="537"/>
      <c r="G478" s="171"/>
      <c r="H478" s="1"/>
    </row>
    <row r="479" spans="1:8" ht="21" customHeight="1">
      <c r="A479" s="245"/>
      <c r="B479" s="159" t="s">
        <v>645</v>
      </c>
      <c r="C479" s="159"/>
      <c r="D479" s="159"/>
      <c r="E479" s="170" t="s">
        <v>46</v>
      </c>
      <c r="F479" s="537">
        <v>86270</v>
      </c>
      <c r="G479" s="683" t="s">
        <v>30</v>
      </c>
      <c r="H479" s="1"/>
    </row>
    <row r="480" spans="1:8" ht="21" customHeight="1">
      <c r="A480" s="245"/>
      <c r="B480" s="246" t="s">
        <v>646</v>
      </c>
      <c r="C480" s="246"/>
      <c r="D480" s="246"/>
      <c r="E480" s="170" t="s">
        <v>46</v>
      </c>
      <c r="F480" s="537">
        <v>60385</v>
      </c>
      <c r="G480" s="683" t="s">
        <v>30</v>
      </c>
      <c r="H480" s="1"/>
    </row>
    <row r="481" spans="1:8" ht="21" customHeight="1">
      <c r="A481" s="245"/>
      <c r="B481" s="719" t="s">
        <v>673</v>
      </c>
      <c r="D481" s="1"/>
      <c r="E481" s="170" t="s">
        <v>46</v>
      </c>
      <c r="F481" s="537">
        <v>1144400</v>
      </c>
      <c r="G481" s="683" t="s">
        <v>30</v>
      </c>
      <c r="H481" s="1"/>
    </row>
    <row r="482" spans="1:8" ht="21" customHeight="1">
      <c r="A482" s="245"/>
      <c r="B482" s="540" t="s">
        <v>674</v>
      </c>
      <c r="C482" s="540"/>
      <c r="D482" s="540"/>
      <c r="E482" s="170" t="s">
        <v>46</v>
      </c>
      <c r="F482" s="537">
        <v>213600</v>
      </c>
      <c r="G482" s="683" t="s">
        <v>30</v>
      </c>
      <c r="H482" s="1"/>
    </row>
    <row r="483" spans="1:8" ht="21" customHeight="1">
      <c r="A483" s="245"/>
      <c r="B483" s="540" t="s">
        <v>675</v>
      </c>
      <c r="C483" s="540"/>
      <c r="D483" s="540"/>
      <c r="E483" s="170" t="s">
        <v>46</v>
      </c>
      <c r="F483" s="537">
        <v>1164149.25</v>
      </c>
      <c r="G483" s="683" t="s">
        <v>30</v>
      </c>
      <c r="H483" s="1"/>
    </row>
    <row r="484" spans="1:8" ht="21" customHeight="1">
      <c r="A484" s="245"/>
      <c r="B484" s="719" t="s">
        <v>649</v>
      </c>
      <c r="C484" s="540"/>
      <c r="D484" s="540"/>
      <c r="E484" s="170" t="s">
        <v>46</v>
      </c>
      <c r="F484" s="537">
        <v>52500</v>
      </c>
      <c r="G484" s="683" t="s">
        <v>30</v>
      </c>
      <c r="H484" s="1"/>
    </row>
    <row r="485" spans="1:8" ht="21" customHeight="1">
      <c r="A485" s="245"/>
      <c r="B485" s="246" t="s">
        <v>643</v>
      </c>
      <c r="C485" s="540"/>
      <c r="D485" s="540"/>
      <c r="E485" s="170"/>
      <c r="F485" s="537"/>
      <c r="G485" s="683"/>
      <c r="H485" s="1"/>
    </row>
    <row r="486" spans="1:8" ht="21" customHeight="1">
      <c r="A486" s="245"/>
      <c r="B486" s="246" t="s">
        <v>644</v>
      </c>
      <c r="C486" s="255" t="s">
        <v>70</v>
      </c>
      <c r="D486" s="219"/>
      <c r="E486" s="680" t="e">
        <f>F458+F459+F460+F461+F462+F463+F474+F475+#REF!+F476+F477+F479+F480+F481+F482+F483+F484</f>
        <v>#REF!</v>
      </c>
      <c r="F486" s="171"/>
      <c r="G486" s="684"/>
      <c r="H486" s="1"/>
    </row>
    <row r="487" spans="1:8" ht="21" customHeight="1">
      <c r="A487" s="245"/>
      <c r="B487" s="540"/>
      <c r="C487" s="540"/>
      <c r="D487" s="540"/>
      <c r="E487" s="170"/>
      <c r="F487" s="537"/>
      <c r="G487" s="171"/>
      <c r="H487" s="1"/>
    </row>
    <row r="488" spans="1:8" ht="21" customHeight="1">
      <c r="A488" s="245"/>
      <c r="B488" s="540"/>
      <c r="C488" s="540"/>
      <c r="D488" s="540"/>
      <c r="E488" s="170"/>
      <c r="F488" s="537"/>
      <c r="G488" s="171"/>
      <c r="H488" s="1"/>
    </row>
    <row r="489" spans="1:8" ht="21" customHeight="1">
      <c r="A489" s="245"/>
      <c r="B489" s="540"/>
      <c r="C489" s="540"/>
      <c r="D489" s="540"/>
      <c r="E489" s="170"/>
      <c r="F489" s="537"/>
      <c r="G489" s="171"/>
      <c r="H489" s="1"/>
    </row>
    <row r="490" spans="1:8" ht="21" customHeight="1">
      <c r="A490" s="245"/>
      <c r="B490" s="540"/>
      <c r="C490" s="540"/>
      <c r="D490" s="540"/>
      <c r="E490" s="170"/>
      <c r="F490" s="537"/>
      <c r="G490" s="171"/>
      <c r="H490" s="1"/>
    </row>
    <row r="491" spans="1:8" ht="21" customHeight="1">
      <c r="A491" s="245"/>
      <c r="B491" s="540"/>
      <c r="C491" s="540"/>
      <c r="D491" s="540"/>
      <c r="E491" s="170"/>
      <c r="F491" s="537"/>
      <c r="G491" s="171"/>
      <c r="H491" s="1"/>
    </row>
    <row r="492" spans="1:8" ht="21" customHeight="1">
      <c r="A492" s="245"/>
      <c r="B492" s="540"/>
      <c r="C492" s="540"/>
      <c r="D492" s="540"/>
      <c r="E492" s="170"/>
      <c r="F492" s="537"/>
      <c r="G492" s="171"/>
      <c r="H492" s="1"/>
    </row>
    <row r="493" spans="1:8" ht="21" customHeight="1">
      <c r="A493" s="245"/>
      <c r="B493" s="540"/>
      <c r="C493" s="540"/>
      <c r="D493" s="540"/>
      <c r="E493" s="170"/>
      <c r="F493" s="537"/>
      <c r="G493" s="171"/>
      <c r="H493" s="1"/>
    </row>
    <row r="494" spans="1:8" ht="21" customHeight="1" thickBot="1">
      <c r="A494" s="245"/>
      <c r="B494" s="540"/>
      <c r="C494" s="540"/>
      <c r="D494" s="540"/>
      <c r="E494" s="170"/>
      <c r="F494" s="537"/>
      <c r="G494" s="171"/>
      <c r="H494" s="1"/>
    </row>
    <row r="495" spans="1:7" ht="19.5" customHeight="1" thickTop="1">
      <c r="A495" s="217" t="s">
        <v>90</v>
      </c>
      <c r="B495" s="240" t="s">
        <v>124</v>
      </c>
      <c r="C495" s="241"/>
      <c r="D495" s="242"/>
      <c r="E495" s="532"/>
      <c r="F495" s="171"/>
      <c r="G495" s="550"/>
    </row>
    <row r="496" spans="1:7" ht="19.5" customHeight="1">
      <c r="A496" s="244"/>
      <c r="B496" s="240" t="s">
        <v>171</v>
      </c>
      <c r="C496" s="241"/>
      <c r="D496" s="242"/>
      <c r="E496" s="532"/>
      <c r="F496" s="171"/>
      <c r="G496" s="243"/>
    </row>
    <row r="497" spans="1:7" ht="19.5" customHeight="1">
      <c r="A497" s="245">
        <v>1</v>
      </c>
      <c r="B497" s="540" t="s">
        <v>400</v>
      </c>
      <c r="C497" s="540"/>
      <c r="D497" s="170" t="s">
        <v>46</v>
      </c>
      <c r="E497" s="532">
        <v>1172601.59</v>
      </c>
      <c r="F497" s="171" t="s">
        <v>30</v>
      </c>
      <c r="G497" s="243"/>
    </row>
    <row r="498" spans="1:7" ht="19.5" customHeight="1">
      <c r="A498" s="245"/>
      <c r="B498" s="246" t="s">
        <v>413</v>
      </c>
      <c r="C498" s="246"/>
      <c r="D498" s="170"/>
      <c r="E498" s="532"/>
      <c r="F498" s="171"/>
      <c r="G498" s="243"/>
    </row>
    <row r="499" spans="1:7" ht="19.5" customHeight="1">
      <c r="A499" s="245">
        <v>2</v>
      </c>
      <c r="B499" s="240" t="s">
        <v>414</v>
      </c>
      <c r="C499" s="247"/>
      <c r="D499" s="170" t="s">
        <v>46</v>
      </c>
      <c r="E499" s="537">
        <v>7588</v>
      </c>
      <c r="F499" s="171" t="s">
        <v>30</v>
      </c>
      <c r="G499" s="243"/>
    </row>
    <row r="500" spans="1:7" ht="19.5" customHeight="1">
      <c r="A500" s="245"/>
      <c r="B500" s="240" t="s">
        <v>401</v>
      </c>
      <c r="C500" s="249"/>
      <c r="D500" s="170"/>
      <c r="E500" s="532"/>
      <c r="F500" s="171"/>
      <c r="G500" s="243"/>
    </row>
    <row r="501" spans="1:7" ht="19.5" customHeight="1">
      <c r="A501" s="245">
        <v>3</v>
      </c>
      <c r="B501" s="529" t="s">
        <v>415</v>
      </c>
      <c r="C501" s="247"/>
      <c r="D501" s="170" t="s">
        <v>46</v>
      </c>
      <c r="E501" s="532">
        <v>135425.3</v>
      </c>
      <c r="F501" s="171" t="s">
        <v>30</v>
      </c>
      <c r="G501" s="243"/>
    </row>
    <row r="502" spans="1:7" ht="19.5" customHeight="1">
      <c r="A502" s="245">
        <v>4</v>
      </c>
      <c r="B502" s="529" t="s">
        <v>416</v>
      </c>
      <c r="C502" s="247"/>
      <c r="D502" s="170" t="s">
        <v>46</v>
      </c>
      <c r="E502" s="532">
        <v>48336.34</v>
      </c>
      <c r="F502" s="171" t="s">
        <v>30</v>
      </c>
      <c r="G502" s="243"/>
    </row>
    <row r="503" spans="1:7" ht="19.5" customHeight="1">
      <c r="A503" s="245">
        <v>5</v>
      </c>
      <c r="B503" s="540" t="s">
        <v>417</v>
      </c>
      <c r="C503" s="540"/>
      <c r="D503" s="170" t="s">
        <v>46</v>
      </c>
      <c r="E503" s="537">
        <v>133998.86</v>
      </c>
      <c r="F503" s="171" t="s">
        <v>30</v>
      </c>
      <c r="G503" s="243"/>
    </row>
    <row r="504" spans="1:7" ht="19.5" customHeight="1">
      <c r="A504" s="245">
        <v>6</v>
      </c>
      <c r="B504" s="159" t="s">
        <v>418</v>
      </c>
      <c r="C504" s="159"/>
      <c r="D504" s="170" t="s">
        <v>46</v>
      </c>
      <c r="E504" s="537">
        <v>3280.91</v>
      </c>
      <c r="F504" s="171" t="s">
        <v>30</v>
      </c>
      <c r="G504" s="243"/>
    </row>
    <row r="505" spans="1:7" ht="19.5" customHeight="1">
      <c r="A505" s="245"/>
      <c r="B505" s="254"/>
      <c r="C505" s="240"/>
      <c r="D505" s="247"/>
      <c r="E505" s="533"/>
      <c r="F505" s="248"/>
      <c r="G505" s="243"/>
    </row>
    <row r="506" spans="1:7" ht="19.5" customHeight="1">
      <c r="A506" s="245"/>
      <c r="B506" s="254"/>
      <c r="C506" s="250"/>
      <c r="D506" s="250"/>
      <c r="E506" s="533"/>
      <c r="F506" s="248"/>
      <c r="G506" s="243"/>
    </row>
    <row r="507" spans="1:7" ht="19.5" customHeight="1">
      <c r="A507" s="245"/>
      <c r="B507" s="254"/>
      <c r="C507" s="250"/>
      <c r="D507" s="250"/>
      <c r="E507" s="533"/>
      <c r="F507" s="248"/>
      <c r="G507" s="243"/>
    </row>
    <row r="508" spans="1:7" ht="19.5" customHeight="1">
      <c r="A508" s="245"/>
      <c r="B508" s="254"/>
      <c r="C508" s="250"/>
      <c r="D508" s="250"/>
      <c r="E508" s="533"/>
      <c r="F508" s="248"/>
      <c r="G508" s="243"/>
    </row>
    <row r="509" spans="1:7" ht="19.5" customHeight="1" thickBot="1">
      <c r="A509" s="251"/>
      <c r="B509" s="496"/>
      <c r="C509" s="648"/>
      <c r="D509" s="252" t="s">
        <v>70</v>
      </c>
      <c r="E509" s="593"/>
      <c r="F509" s="252">
        <f>SUM(F497:F508)</f>
        <v>0</v>
      </c>
      <c r="G509" s="253"/>
    </row>
    <row r="510" spans="1:7" ht="16.5" customHeight="1">
      <c r="A510" s="254"/>
      <c r="B510" s="254"/>
      <c r="C510" s="240"/>
      <c r="D510" s="255"/>
      <c r="E510" s="592"/>
      <c r="F510" s="255"/>
      <c r="G510" s="171"/>
    </row>
    <row r="511" spans="1:7" ht="27" customHeight="1">
      <c r="A511" s="254"/>
      <c r="B511" s="254"/>
      <c r="C511" s="159"/>
      <c r="D511" s="171"/>
      <c r="E511" s="539" t="s">
        <v>265</v>
      </c>
      <c r="F511" s="159"/>
      <c r="G511" s="171"/>
    </row>
    <row r="512" spans="1:7" ht="27" customHeight="1">
      <c r="A512" s="254"/>
      <c r="B512" s="254"/>
      <c r="C512" s="159"/>
      <c r="D512" s="171"/>
      <c r="E512" s="760" t="s">
        <v>169</v>
      </c>
      <c r="F512" s="760"/>
      <c r="G512" s="171"/>
    </row>
    <row r="513" spans="1:7" ht="23.25" customHeight="1">
      <c r="A513" s="254"/>
      <c r="B513" s="254"/>
      <c r="C513" s="159"/>
      <c r="D513" s="760" t="s">
        <v>376</v>
      </c>
      <c r="E513" s="760"/>
      <c r="F513" s="760"/>
      <c r="G513" s="760"/>
    </row>
    <row r="514" spans="1:7" ht="21" customHeight="1">
      <c r="A514" s="254"/>
      <c r="B514" s="254"/>
      <c r="C514" s="159"/>
      <c r="D514" s="171"/>
      <c r="E514" s="533"/>
      <c r="F514" s="171"/>
      <c r="G514" s="171"/>
    </row>
    <row r="515" spans="1:7" ht="16.5" customHeight="1">
      <c r="A515" s="254"/>
      <c r="B515" s="254"/>
      <c r="C515" s="159"/>
      <c r="D515" s="171"/>
      <c r="E515" s="792" t="s">
        <v>264</v>
      </c>
      <c r="F515" s="792"/>
      <c r="G515" s="171"/>
    </row>
    <row r="516" spans="1:7" ht="21" customHeight="1">
      <c r="A516" s="254"/>
      <c r="B516" s="254"/>
      <c r="C516" s="159"/>
      <c r="D516" s="256"/>
      <c r="E516" s="533"/>
      <c r="F516" s="255"/>
      <c r="G516" s="171"/>
    </row>
    <row r="517" spans="1:7" ht="24.75" customHeight="1">
      <c r="A517" s="254"/>
      <c r="B517" s="254"/>
      <c r="C517" s="159"/>
      <c r="D517" s="171"/>
      <c r="E517" s="539" t="s">
        <v>266</v>
      </c>
      <c r="F517" s="159"/>
      <c r="G517" s="171"/>
    </row>
    <row r="518" spans="1:8" ht="30" customHeight="1">
      <c r="A518" s="254"/>
      <c r="B518" s="254"/>
      <c r="C518" s="257"/>
      <c r="D518" s="171"/>
      <c r="E518" s="792" t="s">
        <v>402</v>
      </c>
      <c r="F518" s="792"/>
      <c r="G518" s="792"/>
      <c r="H518" s="792"/>
    </row>
    <row r="519" spans="1:7" ht="30" customHeight="1">
      <c r="A519" s="254"/>
      <c r="B519" s="254"/>
      <c r="C519" s="240"/>
      <c r="D519" s="795" t="s">
        <v>403</v>
      </c>
      <c r="E519" s="795"/>
      <c r="F519" s="795"/>
      <c r="G519" s="795"/>
    </row>
    <row r="520" spans="1:7" ht="30" customHeight="1">
      <c r="A520" s="254"/>
      <c r="B520" s="254"/>
      <c r="C520" s="240"/>
      <c r="D520" s="172"/>
      <c r="E520" s="172"/>
      <c r="F520" s="172"/>
      <c r="G520" s="172"/>
    </row>
    <row r="521" spans="1:7" ht="30" customHeight="1">
      <c r="A521" s="254"/>
      <c r="B521" s="254"/>
      <c r="C521" s="240"/>
      <c r="D521" s="172"/>
      <c r="E521" s="172"/>
      <c r="F521" s="172"/>
      <c r="G521" s="172"/>
    </row>
    <row r="522" spans="1:7" ht="30" customHeight="1">
      <c r="A522" s="254"/>
      <c r="B522" s="254"/>
      <c r="C522" s="240"/>
      <c r="D522" s="172"/>
      <c r="E522" s="172"/>
      <c r="F522" s="172"/>
      <c r="G522" s="172"/>
    </row>
    <row r="523" spans="1:7" ht="30" customHeight="1">
      <c r="A523" s="254"/>
      <c r="B523" s="254"/>
      <c r="C523" s="240"/>
      <c r="D523" s="172"/>
      <c r="E523" s="172"/>
      <c r="F523" s="172"/>
      <c r="G523" s="172"/>
    </row>
    <row r="524" spans="1:7" ht="30" customHeight="1">
      <c r="A524" s="254"/>
      <c r="B524" s="254"/>
      <c r="C524" s="240"/>
      <c r="D524" s="172"/>
      <c r="E524" s="172"/>
      <c r="F524" s="172"/>
      <c r="G524" s="172"/>
    </row>
    <row r="525" spans="1:7" ht="30" customHeight="1">
      <c r="A525" s="254"/>
      <c r="B525" s="254"/>
      <c r="C525" s="240"/>
      <c r="D525" s="172"/>
      <c r="E525" s="172"/>
      <c r="F525" s="172"/>
      <c r="G525" s="172"/>
    </row>
    <row r="526" spans="1:7" ht="30" customHeight="1">
      <c r="A526" s="254"/>
      <c r="B526" s="254"/>
      <c r="C526" s="240"/>
      <c r="D526" s="172"/>
      <c r="E526" s="172"/>
      <c r="F526" s="172"/>
      <c r="G526" s="172"/>
    </row>
    <row r="527" spans="1:7" ht="30" customHeight="1">
      <c r="A527" s="254"/>
      <c r="B527" s="254"/>
      <c r="C527" s="240"/>
      <c r="D527" s="172"/>
      <c r="E527" s="172"/>
      <c r="F527" s="172"/>
      <c r="G527" s="172"/>
    </row>
    <row r="528" spans="1:7" ht="30" customHeight="1">
      <c r="A528" s="254"/>
      <c r="B528" s="254"/>
      <c r="C528" s="240"/>
      <c r="D528" s="172"/>
      <c r="E528" s="172"/>
      <c r="F528" s="172"/>
      <c r="G528" s="172"/>
    </row>
    <row r="529" spans="6:7" ht="21" customHeight="1">
      <c r="F529" s="780" t="s">
        <v>427</v>
      </c>
      <c r="G529" s="780"/>
    </row>
    <row r="530" spans="5:7" ht="21" customHeight="1">
      <c r="E530" s="746" t="s">
        <v>419</v>
      </c>
      <c r="F530" s="746"/>
      <c r="G530" s="746"/>
    </row>
    <row r="531" spans="1:7" ht="21" customHeight="1">
      <c r="A531" s="744" t="s">
        <v>89</v>
      </c>
      <c r="B531" s="744"/>
      <c r="C531" s="744"/>
      <c r="D531" s="744"/>
      <c r="E531" s="744"/>
      <c r="F531" s="744"/>
      <c r="G531" s="744"/>
    </row>
    <row r="532" spans="1:4" ht="21" customHeight="1" thickBot="1">
      <c r="A532" s="174" t="s">
        <v>121</v>
      </c>
      <c r="B532" s="174"/>
      <c r="C532" s="174"/>
      <c r="D532" s="223"/>
    </row>
    <row r="533" spans="1:7" ht="21" customHeight="1" thickBot="1">
      <c r="A533" s="769" t="s">
        <v>52</v>
      </c>
      <c r="B533" s="781"/>
      <c r="C533" s="781"/>
      <c r="D533" s="782"/>
      <c r="E533" s="588" t="s">
        <v>47</v>
      </c>
      <c r="F533" s="225" t="s">
        <v>9</v>
      </c>
      <c r="G533" s="226" t="s">
        <v>10</v>
      </c>
    </row>
    <row r="534" spans="1:7" ht="21" customHeight="1">
      <c r="A534" s="185" t="s">
        <v>1</v>
      </c>
      <c r="B534" s="186"/>
      <c r="C534" s="186"/>
      <c r="D534" s="186"/>
      <c r="E534" s="589" t="s">
        <v>193</v>
      </c>
      <c r="F534" s="227">
        <v>72800</v>
      </c>
      <c r="G534" s="228"/>
    </row>
    <row r="535" spans="1:7" ht="21" customHeight="1">
      <c r="A535" s="185"/>
      <c r="B535" s="186"/>
      <c r="C535" s="186" t="s">
        <v>360</v>
      </c>
      <c r="D535" s="186"/>
      <c r="E535" s="590" t="s">
        <v>247</v>
      </c>
      <c r="F535" s="230"/>
      <c r="G535" s="231">
        <f>SUM(F534:F534)</f>
        <v>72800</v>
      </c>
    </row>
    <row r="536" spans="1:7" ht="21" customHeight="1">
      <c r="A536" s="232"/>
      <c r="B536" s="233"/>
      <c r="C536" s="233"/>
      <c r="D536" s="233"/>
      <c r="E536" s="590"/>
      <c r="F536" s="230"/>
      <c r="G536" s="231"/>
    </row>
    <row r="537" spans="1:7" ht="21" customHeight="1">
      <c r="A537" s="232"/>
      <c r="B537" s="233"/>
      <c r="C537" s="233"/>
      <c r="D537" s="233"/>
      <c r="E537" s="590"/>
      <c r="F537" s="230"/>
      <c r="G537" s="231"/>
    </row>
    <row r="538" spans="1:7" ht="21" customHeight="1">
      <c r="A538" s="232"/>
      <c r="B538" s="233"/>
      <c r="C538" s="233"/>
      <c r="D538" s="233"/>
      <c r="E538" s="590"/>
      <c r="F538" s="230"/>
      <c r="G538" s="231"/>
    </row>
    <row r="539" spans="1:7" ht="21" customHeight="1">
      <c r="A539" s="232"/>
      <c r="B539" s="233"/>
      <c r="C539" s="233"/>
      <c r="D539" s="233"/>
      <c r="E539" s="590"/>
      <c r="F539" s="230"/>
      <c r="G539" s="231"/>
    </row>
    <row r="540" spans="1:7" ht="21" customHeight="1">
      <c r="A540" s="232"/>
      <c r="B540" s="233"/>
      <c r="C540" s="233"/>
      <c r="D540" s="233"/>
      <c r="E540" s="590"/>
      <c r="F540" s="234"/>
      <c r="G540" s="231"/>
    </row>
    <row r="541" spans="1:7" ht="21" customHeight="1">
      <c r="A541" s="232"/>
      <c r="B541" s="233"/>
      <c r="C541" s="233"/>
      <c r="D541" s="233"/>
      <c r="E541" s="590"/>
      <c r="F541" s="234"/>
      <c r="G541" s="231"/>
    </row>
    <row r="542" spans="1:7" ht="21.75" customHeight="1" thickBot="1">
      <c r="A542" s="235"/>
      <c r="B542" s="236"/>
      <c r="C542" s="236"/>
      <c r="D542" s="237"/>
      <c r="E542" s="591"/>
      <c r="F542" s="238">
        <f>SUM(F534:F535)</f>
        <v>72800</v>
      </c>
      <c r="G542" s="239">
        <f>SUM(G535:G535)</f>
        <v>72800</v>
      </c>
    </row>
    <row r="543" spans="1:7" ht="19.5" customHeight="1" thickTop="1">
      <c r="A543" s="217" t="s">
        <v>90</v>
      </c>
      <c r="B543" s="240" t="s">
        <v>420</v>
      </c>
      <c r="C543" s="241"/>
      <c r="D543" s="242"/>
      <c r="E543" s="532"/>
      <c r="F543" s="171"/>
      <c r="G543" s="550"/>
    </row>
    <row r="544" spans="1:7" ht="19.5" customHeight="1">
      <c r="A544" s="244"/>
      <c r="B544" s="240"/>
      <c r="C544" s="241"/>
      <c r="D544" s="242"/>
      <c r="E544" s="532"/>
      <c r="F544" s="171"/>
      <c r="G544" s="243"/>
    </row>
    <row r="545" spans="1:7" ht="19.5" customHeight="1">
      <c r="A545" s="245">
        <v>1</v>
      </c>
      <c r="B545" s="540" t="s">
        <v>421</v>
      </c>
      <c r="C545" s="540"/>
      <c r="D545" s="170" t="s">
        <v>46</v>
      </c>
      <c r="E545" s="532">
        <v>72800</v>
      </c>
      <c r="F545" s="171" t="s">
        <v>30</v>
      </c>
      <c r="G545" s="243"/>
    </row>
    <row r="546" spans="1:7" ht="19.5" customHeight="1">
      <c r="A546" s="245"/>
      <c r="B546" s="246" t="s">
        <v>422</v>
      </c>
      <c r="C546" s="246"/>
      <c r="D546" s="170"/>
      <c r="E546" s="532"/>
      <c r="F546" s="171"/>
      <c r="G546" s="243"/>
    </row>
    <row r="547" spans="1:7" ht="19.5" customHeight="1">
      <c r="A547" s="245"/>
      <c r="B547" s="240" t="s">
        <v>423</v>
      </c>
      <c r="C547" s="247"/>
      <c r="D547" s="170"/>
      <c r="E547" s="537"/>
      <c r="F547" s="171"/>
      <c r="G547" s="243"/>
    </row>
    <row r="548" spans="1:7" ht="19.5" customHeight="1">
      <c r="A548" s="245"/>
      <c r="B548" s="540"/>
      <c r="C548" s="540"/>
      <c r="D548" s="170"/>
      <c r="E548" s="532"/>
      <c r="F548" s="171"/>
      <c r="G548" s="243"/>
    </row>
    <row r="549" spans="1:7" ht="19.5" customHeight="1">
      <c r="A549" s="245"/>
      <c r="B549" s="254"/>
      <c r="C549" s="792"/>
      <c r="D549" s="792"/>
      <c r="E549" s="533"/>
      <c r="F549" s="171"/>
      <c r="G549" s="243"/>
    </row>
    <row r="550" spans="1:7" ht="19.5" customHeight="1">
      <c r="A550" s="245"/>
      <c r="B550" s="254"/>
      <c r="C550" s="240"/>
      <c r="D550" s="247"/>
      <c r="E550" s="533"/>
      <c r="F550" s="248"/>
      <c r="G550" s="243"/>
    </row>
    <row r="551" spans="1:7" ht="19.5" customHeight="1">
      <c r="A551" s="245"/>
      <c r="B551" s="254"/>
      <c r="C551" s="250"/>
      <c r="D551" s="250"/>
      <c r="E551" s="533"/>
      <c r="F551" s="248"/>
      <c r="G551" s="243"/>
    </row>
    <row r="552" spans="1:7" ht="19.5" customHeight="1">
      <c r="A552" s="245"/>
      <c r="B552" s="254"/>
      <c r="C552" s="250"/>
      <c r="D552" s="250"/>
      <c r="E552" s="533"/>
      <c r="F552" s="248"/>
      <c r="G552" s="243"/>
    </row>
    <row r="553" spans="1:7" ht="19.5" customHeight="1">
      <c r="A553" s="245"/>
      <c r="B553" s="254"/>
      <c r="C553" s="250"/>
      <c r="D553" s="250"/>
      <c r="E553" s="533"/>
      <c r="F553" s="248"/>
      <c r="G553" s="243"/>
    </row>
    <row r="554" spans="1:7" ht="19.5" customHeight="1">
      <c r="A554" s="245"/>
      <c r="B554" s="254"/>
      <c r="C554" s="250"/>
      <c r="D554" s="250"/>
      <c r="E554" s="533"/>
      <c r="F554" s="248"/>
      <c r="G554" s="243"/>
    </row>
    <row r="555" spans="1:7" ht="19.5" customHeight="1">
      <c r="A555" s="245"/>
      <c r="B555" s="254"/>
      <c r="C555" s="250"/>
      <c r="D555" s="250"/>
      <c r="E555" s="533"/>
      <c r="F555" s="248"/>
      <c r="G555" s="243"/>
    </row>
    <row r="556" spans="1:7" ht="19.5" customHeight="1">
      <c r="A556" s="245"/>
      <c r="B556" s="254"/>
      <c r="C556" s="250"/>
      <c r="D556" s="250"/>
      <c r="E556" s="533"/>
      <c r="F556" s="248"/>
      <c r="G556" s="243"/>
    </row>
    <row r="557" spans="1:7" ht="19.5" customHeight="1" thickBot="1">
      <c r="A557" s="251"/>
      <c r="B557" s="496"/>
      <c r="C557" s="648"/>
      <c r="D557" s="252"/>
      <c r="E557" s="593"/>
      <c r="F557" s="252"/>
      <c r="G557" s="253"/>
    </row>
    <row r="558" spans="1:7" ht="16.5" customHeight="1">
      <c r="A558" s="254"/>
      <c r="B558" s="254"/>
      <c r="C558" s="240"/>
      <c r="D558" s="255"/>
      <c r="E558" s="592"/>
      <c r="F558" s="255"/>
      <c r="G558" s="171"/>
    </row>
    <row r="559" spans="1:7" ht="27" customHeight="1">
      <c r="A559" s="254"/>
      <c r="B559" s="254"/>
      <c r="C559" s="159"/>
      <c r="D559" s="171"/>
      <c r="E559" s="539" t="s">
        <v>265</v>
      </c>
      <c r="F559" s="159"/>
      <c r="G559" s="171"/>
    </row>
    <row r="560" spans="1:7" ht="27" customHeight="1">
      <c r="A560" s="254"/>
      <c r="B560" s="254"/>
      <c r="C560" s="159"/>
      <c r="D560" s="171"/>
      <c r="E560" s="760" t="s">
        <v>169</v>
      </c>
      <c r="F560" s="760"/>
      <c r="G560" s="171"/>
    </row>
    <row r="561" spans="1:7" ht="23.25" customHeight="1">
      <c r="A561" s="254"/>
      <c r="B561" s="254"/>
      <c r="C561" s="159"/>
      <c r="D561" s="760" t="s">
        <v>376</v>
      </c>
      <c r="E561" s="760"/>
      <c r="F561" s="760"/>
      <c r="G561" s="760"/>
    </row>
    <row r="562" spans="1:7" ht="21" customHeight="1">
      <c r="A562" s="254"/>
      <c r="B562" s="254"/>
      <c r="C562" s="159"/>
      <c r="D562" s="171"/>
      <c r="E562" s="533"/>
      <c r="F562" s="171"/>
      <c r="G562" s="171"/>
    </row>
    <row r="563" spans="1:7" ht="16.5" customHeight="1">
      <c r="A563" s="254"/>
      <c r="B563" s="254"/>
      <c r="C563" s="159"/>
      <c r="D563" s="171"/>
      <c r="E563" s="792" t="s">
        <v>264</v>
      </c>
      <c r="F563" s="792"/>
      <c r="G563" s="171"/>
    </row>
    <row r="564" spans="1:7" ht="21" customHeight="1">
      <c r="A564" s="254"/>
      <c r="B564" s="254"/>
      <c r="C564" s="159"/>
      <c r="D564" s="256"/>
      <c r="E564" s="533"/>
      <c r="F564" s="255"/>
      <c r="G564" s="171"/>
    </row>
    <row r="565" spans="1:7" ht="24.75" customHeight="1">
      <c r="A565" s="254"/>
      <c r="B565" s="254"/>
      <c r="C565" s="159"/>
      <c r="D565" s="171"/>
      <c r="E565" s="539" t="s">
        <v>266</v>
      </c>
      <c r="F565" s="159"/>
      <c r="G565" s="171"/>
    </row>
    <row r="566" spans="1:8" ht="30" customHeight="1">
      <c r="A566" s="254"/>
      <c r="B566" s="254"/>
      <c r="C566" s="257"/>
      <c r="D566" s="171"/>
      <c r="E566" s="792" t="s">
        <v>402</v>
      </c>
      <c r="F566" s="792"/>
      <c r="G566" s="792"/>
      <c r="H566" s="792"/>
    </row>
    <row r="567" spans="1:7" ht="30" customHeight="1">
      <c r="A567" s="254"/>
      <c r="B567" s="254"/>
      <c r="C567" s="240"/>
      <c r="D567" s="795" t="s">
        <v>403</v>
      </c>
      <c r="E567" s="795"/>
      <c r="F567" s="795"/>
      <c r="G567" s="795"/>
    </row>
    <row r="568" spans="6:7" ht="21" customHeight="1">
      <c r="F568" s="780" t="s">
        <v>428</v>
      </c>
      <c r="G568" s="780"/>
    </row>
    <row r="569" spans="5:7" ht="21" customHeight="1">
      <c r="E569" s="746" t="s">
        <v>419</v>
      </c>
      <c r="F569" s="746"/>
      <c r="G569" s="746"/>
    </row>
    <row r="570" spans="1:7" ht="21" customHeight="1">
      <c r="A570" s="744" t="s">
        <v>89</v>
      </c>
      <c r="B570" s="744"/>
      <c r="C570" s="744"/>
      <c r="D570" s="744"/>
      <c r="E570" s="744"/>
      <c r="F570" s="744"/>
      <c r="G570" s="744"/>
    </row>
    <row r="571" spans="1:4" ht="21" customHeight="1" thickBot="1">
      <c r="A571" s="174" t="s">
        <v>121</v>
      </c>
      <c r="B571" s="174"/>
      <c r="C571" s="174"/>
      <c r="D571" s="223"/>
    </row>
    <row r="572" spans="1:7" ht="21" customHeight="1" thickBot="1">
      <c r="A572" s="769" t="s">
        <v>52</v>
      </c>
      <c r="B572" s="781"/>
      <c r="C572" s="781"/>
      <c r="D572" s="782"/>
      <c r="E572" s="588" t="s">
        <v>47</v>
      </c>
      <c r="F572" s="225" t="s">
        <v>9</v>
      </c>
      <c r="G572" s="226" t="s">
        <v>10</v>
      </c>
    </row>
    <row r="573" spans="1:7" ht="21" customHeight="1">
      <c r="A573" s="185" t="s">
        <v>1</v>
      </c>
      <c r="B573" s="186"/>
      <c r="C573" s="186"/>
      <c r="D573" s="186"/>
      <c r="E573" s="589" t="s">
        <v>193</v>
      </c>
      <c r="F573" s="227">
        <v>39200</v>
      </c>
      <c r="G573" s="228"/>
    </row>
    <row r="574" spans="1:7" ht="21" customHeight="1">
      <c r="A574" s="185"/>
      <c r="B574" s="186"/>
      <c r="C574" s="186" t="s">
        <v>360</v>
      </c>
      <c r="D574" s="186"/>
      <c r="E574" s="590" t="s">
        <v>247</v>
      </c>
      <c r="F574" s="230"/>
      <c r="G574" s="231">
        <f>SUM(F573:F573)</f>
        <v>39200</v>
      </c>
    </row>
    <row r="575" spans="1:7" ht="21" customHeight="1">
      <c r="A575" s="232"/>
      <c r="B575" s="233"/>
      <c r="C575" s="233"/>
      <c r="D575" s="233"/>
      <c r="E575" s="590"/>
      <c r="F575" s="230"/>
      <c r="G575" s="231"/>
    </row>
    <row r="576" spans="1:7" ht="21" customHeight="1">
      <c r="A576" s="232"/>
      <c r="B576" s="233"/>
      <c r="C576" s="233"/>
      <c r="D576" s="233"/>
      <c r="E576" s="590"/>
      <c r="F576" s="230"/>
      <c r="G576" s="231"/>
    </row>
    <row r="577" spans="1:7" ht="21" customHeight="1">
      <c r="A577" s="232"/>
      <c r="B577" s="233"/>
      <c r="C577" s="233"/>
      <c r="D577" s="233"/>
      <c r="E577" s="590"/>
      <c r="F577" s="230"/>
      <c r="G577" s="231"/>
    </row>
    <row r="578" spans="1:7" ht="21" customHeight="1">
      <c r="A578" s="232"/>
      <c r="B578" s="233"/>
      <c r="C578" s="233"/>
      <c r="D578" s="233"/>
      <c r="E578" s="590"/>
      <c r="F578" s="230"/>
      <c r="G578" s="231"/>
    </row>
    <row r="579" spans="1:7" ht="21" customHeight="1">
      <c r="A579" s="232"/>
      <c r="B579" s="233"/>
      <c r="C579" s="233"/>
      <c r="D579" s="233"/>
      <c r="E579" s="590"/>
      <c r="F579" s="234"/>
      <c r="G579" s="231"/>
    </row>
    <row r="580" spans="1:7" ht="21" customHeight="1">
      <c r="A580" s="232"/>
      <c r="B580" s="233"/>
      <c r="C580" s="233"/>
      <c r="D580" s="233"/>
      <c r="E580" s="590"/>
      <c r="F580" s="234"/>
      <c r="G580" s="231"/>
    </row>
    <row r="581" spans="1:7" ht="21.75" customHeight="1" thickBot="1">
      <c r="A581" s="235"/>
      <c r="B581" s="236"/>
      <c r="C581" s="236"/>
      <c r="D581" s="237"/>
      <c r="E581" s="591"/>
      <c r="F581" s="238">
        <f>SUM(F573:F574)</f>
        <v>39200</v>
      </c>
      <c r="G581" s="239">
        <f>SUM(G574:G574)</f>
        <v>39200</v>
      </c>
    </row>
    <row r="582" spans="1:7" ht="19.5" customHeight="1" thickTop="1">
      <c r="A582" s="217" t="s">
        <v>90</v>
      </c>
      <c r="B582" s="545"/>
      <c r="C582" s="240" t="s">
        <v>420</v>
      </c>
      <c r="D582" s="241"/>
      <c r="E582" s="594"/>
      <c r="F582" s="241"/>
      <c r="G582" s="243"/>
    </row>
    <row r="583" spans="1:7" ht="19.5" customHeight="1">
      <c r="A583" s="244"/>
      <c r="B583" s="546"/>
      <c r="C583" s="240"/>
      <c r="D583" s="241"/>
      <c r="E583" s="594"/>
      <c r="F583" s="241"/>
      <c r="G583" s="243"/>
    </row>
    <row r="584" spans="1:7" ht="19.5" customHeight="1">
      <c r="A584" s="245">
        <v>1</v>
      </c>
      <c r="B584" s="254"/>
      <c r="C584" s="788" t="s">
        <v>424</v>
      </c>
      <c r="D584" s="788"/>
      <c r="E584" s="533" t="s">
        <v>46</v>
      </c>
      <c r="F584" s="171">
        <v>39200</v>
      </c>
      <c r="G584" s="243" t="s">
        <v>30</v>
      </c>
    </row>
    <row r="585" spans="1:7" ht="19.5" customHeight="1">
      <c r="A585" s="245"/>
      <c r="B585" s="254"/>
      <c r="C585" s="792" t="s">
        <v>425</v>
      </c>
      <c r="D585" s="792"/>
      <c r="E585" s="533"/>
      <c r="F585" s="171"/>
      <c r="G585" s="243"/>
    </row>
    <row r="586" spans="1:7" ht="19.5" customHeight="1">
      <c r="A586" s="245"/>
      <c r="B586" s="254"/>
      <c r="C586" s="240" t="s">
        <v>426</v>
      </c>
      <c r="D586" s="247"/>
      <c r="E586" s="533"/>
      <c r="F586" s="248"/>
      <c r="G586" s="243"/>
    </row>
    <row r="587" spans="1:7" ht="19.5" customHeight="1">
      <c r="A587" s="245"/>
      <c r="B587" s="254"/>
      <c r="C587" s="788"/>
      <c r="D587" s="788"/>
      <c r="E587" s="533"/>
      <c r="F587" s="171"/>
      <c r="G587" s="243"/>
    </row>
    <row r="588" spans="1:7" ht="19.5" customHeight="1">
      <c r="A588" s="245"/>
      <c r="B588" s="254"/>
      <c r="C588" s="792"/>
      <c r="D588" s="792"/>
      <c r="E588" s="533"/>
      <c r="F588" s="171"/>
      <c r="G588" s="243"/>
    </row>
    <row r="589" spans="1:7" ht="19.5" customHeight="1">
      <c r="A589" s="245"/>
      <c r="B589" s="254"/>
      <c r="C589" s="240"/>
      <c r="D589" s="247"/>
      <c r="E589" s="533"/>
      <c r="F589" s="248"/>
      <c r="G589" s="243"/>
    </row>
    <row r="590" spans="1:7" ht="19.5" customHeight="1">
      <c r="A590" s="245"/>
      <c r="B590" s="254"/>
      <c r="C590" s="250"/>
      <c r="D590" s="250"/>
      <c r="E590" s="533"/>
      <c r="F590" s="248"/>
      <c r="G590" s="243"/>
    </row>
    <row r="591" spans="1:7" ht="19.5" customHeight="1">
      <c r="A591" s="245"/>
      <c r="B591" s="254"/>
      <c r="C591" s="250"/>
      <c r="D591" s="250"/>
      <c r="E591" s="533"/>
      <c r="F591" s="248"/>
      <c r="G591" s="243"/>
    </row>
    <row r="592" spans="1:7" ht="19.5" customHeight="1">
      <c r="A592" s="245"/>
      <c r="B592" s="254"/>
      <c r="C592" s="250"/>
      <c r="D592" s="250"/>
      <c r="E592" s="533"/>
      <c r="F592" s="248"/>
      <c r="G592" s="243"/>
    </row>
    <row r="593" spans="1:7" ht="19.5" customHeight="1">
      <c r="A593" s="245"/>
      <c r="B593" s="254"/>
      <c r="C593" s="250"/>
      <c r="D593" s="250"/>
      <c r="E593" s="533"/>
      <c r="F593" s="248"/>
      <c r="G593" s="243"/>
    </row>
    <row r="594" spans="1:7" ht="19.5" customHeight="1">
      <c r="A594" s="245"/>
      <c r="B594" s="254"/>
      <c r="C594" s="250"/>
      <c r="D594" s="250"/>
      <c r="E594" s="533"/>
      <c r="F594" s="248"/>
      <c r="G594" s="243"/>
    </row>
    <row r="595" spans="1:7" ht="19.5" customHeight="1">
      <c r="A595" s="245"/>
      <c r="B595" s="254"/>
      <c r="C595" s="250"/>
      <c r="D595" s="250"/>
      <c r="E595" s="533"/>
      <c r="F595" s="248"/>
      <c r="G595" s="243"/>
    </row>
    <row r="596" spans="1:7" ht="19.5" customHeight="1" thickBot="1">
      <c r="A596" s="251"/>
      <c r="B596" s="496"/>
      <c r="C596" s="648"/>
      <c r="D596" s="252"/>
      <c r="E596" s="593"/>
      <c r="F596" s="252"/>
      <c r="G596" s="253"/>
    </row>
    <row r="597" spans="1:7" ht="16.5" customHeight="1">
      <c r="A597" s="254"/>
      <c r="B597" s="254"/>
      <c r="C597" s="240"/>
      <c r="D597" s="255"/>
      <c r="E597" s="592"/>
      <c r="F597" s="255"/>
      <c r="G597" s="171"/>
    </row>
    <row r="598" spans="1:7" ht="27" customHeight="1">
      <c r="A598" s="254"/>
      <c r="B598" s="254"/>
      <c r="C598" s="159"/>
      <c r="D598" s="171"/>
      <c r="E598" s="539" t="s">
        <v>265</v>
      </c>
      <c r="F598" s="159"/>
      <c r="G598" s="171"/>
    </row>
    <row r="599" spans="1:7" ht="27" customHeight="1">
      <c r="A599" s="254"/>
      <c r="B599" s="254"/>
      <c r="C599" s="159"/>
      <c r="D599" s="171"/>
      <c r="E599" s="760" t="s">
        <v>169</v>
      </c>
      <c r="F599" s="760"/>
      <c r="G599" s="171"/>
    </row>
    <row r="600" spans="1:7" ht="23.25" customHeight="1">
      <c r="A600" s="254"/>
      <c r="B600" s="254"/>
      <c r="C600" s="159"/>
      <c r="D600" s="760" t="s">
        <v>376</v>
      </c>
      <c r="E600" s="760"/>
      <c r="F600" s="760"/>
      <c r="G600" s="760"/>
    </row>
    <row r="601" spans="1:7" ht="21" customHeight="1">
      <c r="A601" s="254"/>
      <c r="B601" s="254"/>
      <c r="C601" s="159"/>
      <c r="D601" s="171"/>
      <c r="E601" s="533"/>
      <c r="F601" s="171"/>
      <c r="G601" s="171"/>
    </row>
    <row r="602" spans="1:7" ht="16.5" customHeight="1">
      <c r="A602" s="254"/>
      <c r="B602" s="254"/>
      <c r="C602" s="159"/>
      <c r="D602" s="171"/>
      <c r="E602" s="792" t="s">
        <v>264</v>
      </c>
      <c r="F602" s="792"/>
      <c r="G602" s="171"/>
    </row>
    <row r="603" spans="1:7" ht="21" customHeight="1">
      <c r="A603" s="254"/>
      <c r="B603" s="254"/>
      <c r="C603" s="159"/>
      <c r="D603" s="256"/>
      <c r="E603" s="533"/>
      <c r="F603" s="255"/>
      <c r="G603" s="171"/>
    </row>
    <row r="604" spans="1:7" ht="24.75" customHeight="1">
      <c r="A604" s="254"/>
      <c r="B604" s="254"/>
      <c r="C604" s="159"/>
      <c r="D604" s="171"/>
      <c r="E604" s="539" t="s">
        <v>266</v>
      </c>
      <c r="F604" s="159"/>
      <c r="G604" s="171"/>
    </row>
    <row r="605" spans="1:8" ht="30" customHeight="1">
      <c r="A605" s="254"/>
      <c r="B605" s="254"/>
      <c r="C605" s="257"/>
      <c r="D605" s="171"/>
      <c r="E605" s="792" t="s">
        <v>402</v>
      </c>
      <c r="F605" s="792"/>
      <c r="G605" s="792"/>
      <c r="H605" s="792"/>
    </row>
    <row r="606" spans="1:7" ht="30" customHeight="1">
      <c r="A606" s="254"/>
      <c r="B606" s="254"/>
      <c r="C606" s="240"/>
      <c r="D606" s="795" t="s">
        <v>403</v>
      </c>
      <c r="E606" s="795"/>
      <c r="F606" s="795"/>
      <c r="G606" s="795"/>
    </row>
    <row r="607" spans="6:7" ht="21" customHeight="1">
      <c r="F607" s="780" t="s">
        <v>429</v>
      </c>
      <c r="G607" s="780"/>
    </row>
    <row r="608" spans="5:7" ht="21" customHeight="1">
      <c r="E608" s="746" t="s">
        <v>430</v>
      </c>
      <c r="F608" s="746"/>
      <c r="G608" s="746"/>
    </row>
    <row r="609" spans="1:7" ht="21" customHeight="1">
      <c r="A609" s="744" t="s">
        <v>89</v>
      </c>
      <c r="B609" s="744"/>
      <c r="C609" s="744"/>
      <c r="D609" s="744"/>
      <c r="E609" s="744"/>
      <c r="F609" s="744"/>
      <c r="G609" s="744"/>
    </row>
    <row r="610" spans="1:4" ht="21" customHeight="1" thickBot="1">
      <c r="A610" s="174" t="s">
        <v>121</v>
      </c>
      <c r="B610" s="174"/>
      <c r="C610" s="174"/>
      <c r="D610" s="223"/>
    </row>
    <row r="611" spans="1:7" ht="21" customHeight="1" thickBot="1">
      <c r="A611" s="769" t="s">
        <v>52</v>
      </c>
      <c r="B611" s="781"/>
      <c r="C611" s="781"/>
      <c r="D611" s="782"/>
      <c r="E611" s="588" t="s">
        <v>47</v>
      </c>
      <c r="F611" s="225" t="s">
        <v>9</v>
      </c>
      <c r="G611" s="226" t="s">
        <v>10</v>
      </c>
    </row>
    <row r="612" spans="1:7" ht="21" customHeight="1">
      <c r="A612" s="185" t="s">
        <v>109</v>
      </c>
      <c r="B612" s="186"/>
      <c r="C612" s="186"/>
      <c r="D612" s="186"/>
      <c r="E612" s="589" t="s">
        <v>242</v>
      </c>
      <c r="F612" s="227">
        <v>775028.77</v>
      </c>
      <c r="G612" s="228"/>
    </row>
    <row r="613" spans="1:7" ht="21" customHeight="1">
      <c r="A613" s="185"/>
      <c r="B613" s="186"/>
      <c r="C613" s="186" t="s">
        <v>110</v>
      </c>
      <c r="D613" s="186"/>
      <c r="E613" s="590" t="s">
        <v>241</v>
      </c>
      <c r="F613" s="230"/>
      <c r="G613" s="231">
        <f>SUM(F612:F612)</f>
        <v>775028.77</v>
      </c>
    </row>
    <row r="614" spans="1:7" ht="21" customHeight="1">
      <c r="A614" s="232"/>
      <c r="B614" s="233"/>
      <c r="C614" s="233"/>
      <c r="D614" s="233"/>
      <c r="E614" s="590"/>
      <c r="F614" s="230"/>
      <c r="G614" s="231"/>
    </row>
    <row r="615" spans="1:7" ht="21" customHeight="1">
      <c r="A615" s="232"/>
      <c r="B615" s="233"/>
      <c r="C615" s="233"/>
      <c r="D615" s="233"/>
      <c r="E615" s="590"/>
      <c r="F615" s="230"/>
      <c r="G615" s="231"/>
    </row>
    <row r="616" spans="1:7" ht="21" customHeight="1">
      <c r="A616" s="232"/>
      <c r="B616" s="233"/>
      <c r="C616" s="233"/>
      <c r="D616" s="233"/>
      <c r="E616" s="590"/>
      <c r="F616" s="230"/>
      <c r="G616" s="231"/>
    </row>
    <row r="617" spans="1:7" ht="21" customHeight="1">
      <c r="A617" s="232"/>
      <c r="B617" s="233"/>
      <c r="C617" s="233"/>
      <c r="D617" s="233"/>
      <c r="E617" s="590"/>
      <c r="F617" s="230"/>
      <c r="G617" s="231"/>
    </row>
    <row r="618" spans="1:7" ht="21" customHeight="1">
      <c r="A618" s="232"/>
      <c r="B618" s="233"/>
      <c r="C618" s="233"/>
      <c r="D618" s="233"/>
      <c r="E618" s="590"/>
      <c r="F618" s="234"/>
      <c r="G618" s="231"/>
    </row>
    <row r="619" spans="1:7" ht="21" customHeight="1">
      <c r="A619" s="232"/>
      <c r="B619" s="233"/>
      <c r="C619" s="233"/>
      <c r="D619" s="233"/>
      <c r="E619" s="590"/>
      <c r="F619" s="234"/>
      <c r="G619" s="231"/>
    </row>
    <row r="620" spans="1:7" ht="21.75" customHeight="1" thickBot="1">
      <c r="A620" s="235"/>
      <c r="B620" s="236"/>
      <c r="C620" s="236"/>
      <c r="D620" s="237"/>
      <c r="E620" s="591"/>
      <c r="F620" s="238">
        <f>SUM(F612:F613)</f>
        <v>775028.77</v>
      </c>
      <c r="G620" s="239">
        <f>SUM(G613:G613)</f>
        <v>775028.77</v>
      </c>
    </row>
    <row r="621" spans="1:7" ht="19.5" customHeight="1" thickTop="1">
      <c r="A621" s="217" t="s">
        <v>90</v>
      </c>
      <c r="B621" s="240" t="s">
        <v>124</v>
      </c>
      <c r="C621" s="241"/>
      <c r="D621" s="242"/>
      <c r="E621" s="532"/>
      <c r="F621" s="171"/>
      <c r="G621" s="550"/>
    </row>
    <row r="622" spans="1:7" ht="19.5" customHeight="1">
      <c r="A622" s="244"/>
      <c r="B622" s="240" t="s">
        <v>171</v>
      </c>
      <c r="C622" s="241"/>
      <c r="D622" s="242"/>
      <c r="E622" s="532"/>
      <c r="F622" s="171"/>
      <c r="G622" s="243"/>
    </row>
    <row r="623" spans="1:7" ht="19.5" customHeight="1">
      <c r="A623" s="245">
        <v>1</v>
      </c>
      <c r="B623" s="540" t="s">
        <v>431</v>
      </c>
      <c r="C623" s="540"/>
      <c r="D623" s="170" t="s">
        <v>46</v>
      </c>
      <c r="E623" s="532">
        <v>12434.01</v>
      </c>
      <c r="F623" s="171" t="s">
        <v>30</v>
      </c>
      <c r="G623" s="243"/>
    </row>
    <row r="624" spans="1:7" ht="19.5" customHeight="1">
      <c r="A624" s="245">
        <v>2</v>
      </c>
      <c r="B624" s="246" t="s">
        <v>432</v>
      </c>
      <c r="C624" s="246"/>
      <c r="D624" s="170" t="s">
        <v>46</v>
      </c>
      <c r="E624" s="532">
        <v>17500</v>
      </c>
      <c r="F624" s="171" t="s">
        <v>30</v>
      </c>
      <c r="G624" s="243"/>
    </row>
    <row r="625" spans="1:7" ht="19.5" customHeight="1">
      <c r="A625" s="245"/>
      <c r="B625" s="240" t="s">
        <v>433</v>
      </c>
      <c r="C625" s="247"/>
      <c r="D625" s="170"/>
      <c r="E625" s="537"/>
      <c r="F625" s="171"/>
      <c r="G625" s="243"/>
    </row>
    <row r="626" spans="1:7" ht="19.5" customHeight="1">
      <c r="A626" s="245">
        <v>3</v>
      </c>
      <c r="B626" s="240" t="s">
        <v>434</v>
      </c>
      <c r="C626" s="249"/>
      <c r="D626" s="170" t="s">
        <v>46</v>
      </c>
      <c r="E626" s="532">
        <v>70825.59</v>
      </c>
      <c r="F626" s="171" t="s">
        <v>30</v>
      </c>
      <c r="G626" s="243"/>
    </row>
    <row r="627" spans="1:7" ht="19.5" customHeight="1">
      <c r="A627" s="245"/>
      <c r="B627" s="541" t="s">
        <v>435</v>
      </c>
      <c r="C627" s="247"/>
      <c r="D627" s="170"/>
      <c r="E627" s="532"/>
      <c r="F627" s="171"/>
      <c r="G627" s="243"/>
    </row>
    <row r="628" spans="1:7" ht="19.5" customHeight="1">
      <c r="A628" s="245">
        <v>4</v>
      </c>
      <c r="B628" s="529" t="s">
        <v>415</v>
      </c>
      <c r="C628" s="247"/>
      <c r="D628" s="170" t="s">
        <v>46</v>
      </c>
      <c r="E628" s="532">
        <v>139838.71</v>
      </c>
      <c r="F628" s="171" t="s">
        <v>30</v>
      </c>
      <c r="G628" s="243"/>
    </row>
    <row r="629" spans="1:7" ht="19.5" customHeight="1">
      <c r="A629" s="245">
        <v>5</v>
      </c>
      <c r="B629" s="540" t="s">
        <v>416</v>
      </c>
      <c r="C629" s="540"/>
      <c r="D629" s="170" t="s">
        <v>46</v>
      </c>
      <c r="E629" s="537">
        <v>57340.7</v>
      </c>
      <c r="F629" s="171" t="s">
        <v>30</v>
      </c>
      <c r="G629" s="243"/>
    </row>
    <row r="630" spans="1:7" ht="19.5" customHeight="1">
      <c r="A630" s="245">
        <v>6</v>
      </c>
      <c r="B630" s="159" t="s">
        <v>417</v>
      </c>
      <c r="C630" s="159"/>
      <c r="D630" s="170" t="s">
        <v>46</v>
      </c>
      <c r="E630" s="537">
        <v>145589.76</v>
      </c>
      <c r="F630" s="171" t="s">
        <v>30</v>
      </c>
      <c r="G630" s="243"/>
    </row>
    <row r="631" spans="1:7" ht="19.5" customHeight="1">
      <c r="A631" s="245">
        <v>7</v>
      </c>
      <c r="B631" s="240" t="s">
        <v>436</v>
      </c>
      <c r="C631" s="247"/>
      <c r="D631" s="170" t="s">
        <v>46</v>
      </c>
      <c r="E631" s="537">
        <v>331500</v>
      </c>
      <c r="F631" s="171" t="s">
        <v>30</v>
      </c>
      <c r="G631" s="243"/>
    </row>
    <row r="632" spans="1:7" ht="19.5" customHeight="1">
      <c r="A632" s="245"/>
      <c r="B632" s="250" t="s">
        <v>437</v>
      </c>
      <c r="C632" s="250"/>
      <c r="D632" s="170"/>
      <c r="E632" s="537"/>
      <c r="F632" s="171"/>
      <c r="G632" s="243"/>
    </row>
    <row r="633" spans="1:7" ht="19.5" customHeight="1">
      <c r="A633" s="245"/>
      <c r="B633" s="254"/>
      <c r="C633" s="250"/>
      <c r="D633" s="250"/>
      <c r="E633" s="533"/>
      <c r="F633" s="248"/>
      <c r="G633" s="243"/>
    </row>
    <row r="634" spans="1:7" ht="19.5" customHeight="1">
      <c r="A634" s="245"/>
      <c r="B634" s="254"/>
      <c r="C634" s="250"/>
      <c r="D634" s="250"/>
      <c r="E634" s="533"/>
      <c r="F634" s="248"/>
      <c r="G634" s="243"/>
    </row>
    <row r="635" spans="1:7" ht="19.5" customHeight="1" thickBot="1">
      <c r="A635" s="251"/>
      <c r="B635" s="496"/>
      <c r="C635" s="648"/>
      <c r="D635" s="252" t="s">
        <v>70</v>
      </c>
      <c r="E635" s="595">
        <f>SUM(E623:E631)</f>
        <v>775028.77</v>
      </c>
      <c r="F635" s="252" t="s">
        <v>30</v>
      </c>
      <c r="G635" s="253"/>
    </row>
    <row r="636" spans="1:7" ht="16.5" customHeight="1">
      <c r="A636" s="254"/>
      <c r="B636" s="254"/>
      <c r="C636" s="240"/>
      <c r="D636" s="255"/>
      <c r="E636" s="592"/>
      <c r="F636" s="255"/>
      <c r="G636" s="171"/>
    </row>
    <row r="637" spans="1:7" ht="27" customHeight="1">
      <c r="A637" s="254"/>
      <c r="B637" s="254"/>
      <c r="C637" s="159"/>
      <c r="D637" s="171"/>
      <c r="E637" s="539" t="s">
        <v>265</v>
      </c>
      <c r="F637" s="159"/>
      <c r="G637" s="171"/>
    </row>
    <row r="638" spans="1:7" ht="27" customHeight="1">
      <c r="A638" s="254"/>
      <c r="B638" s="254"/>
      <c r="C638" s="159"/>
      <c r="D638" s="171"/>
      <c r="E638" s="760" t="s">
        <v>169</v>
      </c>
      <c r="F638" s="760"/>
      <c r="G638" s="171"/>
    </row>
    <row r="639" spans="1:7" ht="23.25" customHeight="1">
      <c r="A639" s="254"/>
      <c r="B639" s="254"/>
      <c r="C639" s="159"/>
      <c r="D639" s="760" t="s">
        <v>376</v>
      </c>
      <c r="E639" s="760"/>
      <c r="F639" s="760"/>
      <c r="G639" s="760"/>
    </row>
    <row r="640" spans="1:7" ht="21" customHeight="1">
      <c r="A640" s="254"/>
      <c r="B640" s="254"/>
      <c r="C640" s="159"/>
      <c r="D640" s="171"/>
      <c r="E640" s="533"/>
      <c r="F640" s="171"/>
      <c r="G640" s="171"/>
    </row>
    <row r="641" spans="1:7" ht="16.5" customHeight="1">
      <c r="A641" s="254"/>
      <c r="B641" s="254"/>
      <c r="C641" s="159"/>
      <c r="D641" s="171"/>
      <c r="E641" s="792" t="s">
        <v>264</v>
      </c>
      <c r="F641" s="792"/>
      <c r="G641" s="171"/>
    </row>
    <row r="642" spans="1:7" ht="21" customHeight="1">
      <c r="A642" s="254"/>
      <c r="B642" s="254"/>
      <c r="C642" s="159"/>
      <c r="D642" s="256"/>
      <c r="E642" s="533"/>
      <c r="F642" s="255"/>
      <c r="G642" s="171"/>
    </row>
    <row r="643" spans="1:7" ht="24.75" customHeight="1">
      <c r="A643" s="254"/>
      <c r="B643" s="254"/>
      <c r="C643" s="159"/>
      <c r="D643" s="171"/>
      <c r="E643" s="539" t="s">
        <v>266</v>
      </c>
      <c r="F643" s="159"/>
      <c r="G643" s="171"/>
    </row>
    <row r="644" spans="1:8" ht="30" customHeight="1">
      <c r="A644" s="254"/>
      <c r="B644" s="254"/>
      <c r="C644" s="257"/>
      <c r="D644" s="171"/>
      <c r="E644" s="792" t="s">
        <v>402</v>
      </c>
      <c r="F644" s="792"/>
      <c r="G644" s="792"/>
      <c r="H644" s="792"/>
    </row>
    <row r="645" spans="1:7" ht="30" customHeight="1">
      <c r="A645" s="254"/>
      <c r="B645" s="254"/>
      <c r="C645" s="240"/>
      <c r="D645" s="795" t="s">
        <v>403</v>
      </c>
      <c r="E645" s="795"/>
      <c r="F645" s="795"/>
      <c r="G645" s="795"/>
    </row>
    <row r="646" spans="6:7" ht="21" customHeight="1">
      <c r="F646" s="780" t="s">
        <v>438</v>
      </c>
      <c r="G646" s="780"/>
    </row>
    <row r="647" spans="5:7" ht="21" customHeight="1">
      <c r="E647" s="746" t="s">
        <v>430</v>
      </c>
      <c r="F647" s="746"/>
      <c r="G647" s="746"/>
    </row>
    <row r="648" spans="1:7" ht="21" customHeight="1">
      <c r="A648" s="744" t="s">
        <v>89</v>
      </c>
      <c r="B648" s="744"/>
      <c r="C648" s="744"/>
      <c r="D648" s="744"/>
      <c r="E648" s="744"/>
      <c r="F648" s="744"/>
      <c r="G648" s="744"/>
    </row>
    <row r="649" spans="1:4" ht="21" customHeight="1" thickBot="1">
      <c r="A649" s="174" t="s">
        <v>121</v>
      </c>
      <c r="B649" s="174"/>
      <c r="C649" s="174"/>
      <c r="D649" s="223"/>
    </row>
    <row r="650" spans="1:7" ht="21" customHeight="1" thickBot="1">
      <c r="A650" s="769" t="s">
        <v>52</v>
      </c>
      <c r="B650" s="781"/>
      <c r="C650" s="781"/>
      <c r="D650" s="782"/>
      <c r="E650" s="588" t="s">
        <v>47</v>
      </c>
      <c r="F650" s="225" t="s">
        <v>9</v>
      </c>
      <c r="G650" s="226" t="s">
        <v>10</v>
      </c>
    </row>
    <row r="651" spans="1:7" ht="21" customHeight="1">
      <c r="A651" s="185" t="s">
        <v>109</v>
      </c>
      <c r="B651" s="186"/>
      <c r="C651" s="186"/>
      <c r="D651" s="186"/>
      <c r="E651" s="589" t="s">
        <v>242</v>
      </c>
      <c r="F651" s="227">
        <v>1256695.22</v>
      </c>
      <c r="G651" s="228"/>
    </row>
    <row r="652" spans="1:7" ht="21" customHeight="1">
      <c r="A652" s="185"/>
      <c r="B652" s="186"/>
      <c r="C652" s="186" t="s">
        <v>110</v>
      </c>
      <c r="D652" s="186"/>
      <c r="E652" s="590" t="s">
        <v>241</v>
      </c>
      <c r="F652" s="230"/>
      <c r="G652" s="231">
        <f>SUM(F651:F651)</f>
        <v>1256695.22</v>
      </c>
    </row>
    <row r="653" spans="1:7" ht="21" customHeight="1">
      <c r="A653" s="232"/>
      <c r="B653" s="233"/>
      <c r="C653" s="233"/>
      <c r="D653" s="233"/>
      <c r="E653" s="590"/>
      <c r="F653" s="230"/>
      <c r="G653" s="231"/>
    </row>
    <row r="654" spans="1:7" ht="21" customHeight="1">
      <c r="A654" s="232"/>
      <c r="B654" s="233"/>
      <c r="C654" s="233"/>
      <c r="D654" s="233"/>
      <c r="E654" s="590"/>
      <c r="F654" s="230"/>
      <c r="G654" s="231"/>
    </row>
    <row r="655" spans="1:7" ht="21" customHeight="1">
      <c r="A655" s="232"/>
      <c r="B655" s="233"/>
      <c r="C655" s="233"/>
      <c r="D655" s="233"/>
      <c r="E655" s="590"/>
      <c r="F655" s="230"/>
      <c r="G655" s="231"/>
    </row>
    <row r="656" spans="1:7" ht="21" customHeight="1">
      <c r="A656" s="232"/>
      <c r="B656" s="233"/>
      <c r="C656" s="233"/>
      <c r="D656" s="233"/>
      <c r="E656" s="590"/>
      <c r="F656" s="230"/>
      <c r="G656" s="231"/>
    </row>
    <row r="657" spans="1:7" ht="21" customHeight="1">
      <c r="A657" s="232"/>
      <c r="B657" s="233"/>
      <c r="C657" s="233"/>
      <c r="D657" s="233"/>
      <c r="E657" s="590"/>
      <c r="F657" s="234"/>
      <c r="G657" s="231"/>
    </row>
    <row r="658" spans="1:7" ht="21" customHeight="1">
      <c r="A658" s="232"/>
      <c r="B658" s="233"/>
      <c r="C658" s="233"/>
      <c r="D658" s="233"/>
      <c r="E658" s="590"/>
      <c r="F658" s="234"/>
      <c r="G658" s="231"/>
    </row>
    <row r="659" spans="1:7" ht="21.75" customHeight="1" thickBot="1">
      <c r="A659" s="235"/>
      <c r="B659" s="236"/>
      <c r="C659" s="236"/>
      <c r="D659" s="237"/>
      <c r="E659" s="591"/>
      <c r="F659" s="238">
        <f>SUM(F651:F652)</f>
        <v>1256695.22</v>
      </c>
      <c r="G659" s="239">
        <f>SUM(G652:G652)</f>
        <v>1256695.22</v>
      </c>
    </row>
    <row r="660" spans="1:7" ht="19.5" customHeight="1" thickTop="1">
      <c r="A660" s="217" t="s">
        <v>90</v>
      </c>
      <c r="B660" s="240" t="s">
        <v>124</v>
      </c>
      <c r="C660" s="241"/>
      <c r="D660" s="242"/>
      <c r="E660" s="532"/>
      <c r="F660" s="171"/>
      <c r="G660" s="550"/>
    </row>
    <row r="661" spans="1:7" ht="19.5" customHeight="1">
      <c r="A661" s="244"/>
      <c r="B661" s="240" t="s">
        <v>171</v>
      </c>
      <c r="C661" s="241"/>
      <c r="D661" s="242"/>
      <c r="E661" s="532"/>
      <c r="F661" s="171"/>
      <c r="G661" s="243"/>
    </row>
    <row r="662" spans="1:7" ht="19.5" customHeight="1">
      <c r="A662" s="245">
        <v>1</v>
      </c>
      <c r="B662" s="540" t="s">
        <v>439</v>
      </c>
      <c r="C662" s="540"/>
      <c r="D662" s="170" t="s">
        <v>46</v>
      </c>
      <c r="E662" s="532">
        <v>1238525.69</v>
      </c>
      <c r="F662" s="171" t="s">
        <v>30</v>
      </c>
      <c r="G662" s="243"/>
    </row>
    <row r="663" spans="1:7" ht="19.5" customHeight="1">
      <c r="A663" s="245"/>
      <c r="B663" s="246" t="s">
        <v>440</v>
      </c>
      <c r="C663" s="246"/>
      <c r="D663" s="170"/>
      <c r="E663" s="532"/>
      <c r="F663" s="171"/>
      <c r="G663" s="243"/>
    </row>
    <row r="664" spans="1:7" ht="19.5" customHeight="1">
      <c r="A664" s="245">
        <v>2</v>
      </c>
      <c r="B664" s="240" t="s">
        <v>404</v>
      </c>
      <c r="C664" s="247"/>
      <c r="D664" s="170" t="s">
        <v>46</v>
      </c>
      <c r="E664" s="537">
        <v>10934</v>
      </c>
      <c r="F664" s="171" t="s">
        <v>30</v>
      </c>
      <c r="G664" s="243"/>
    </row>
    <row r="665" spans="1:7" ht="19.5" customHeight="1">
      <c r="A665" s="245"/>
      <c r="B665" s="240" t="s">
        <v>441</v>
      </c>
      <c r="C665" s="249"/>
      <c r="D665" s="170"/>
      <c r="E665" s="532"/>
      <c r="F665" s="171"/>
      <c r="G665" s="243"/>
    </row>
    <row r="666" spans="1:7" ht="19.5" customHeight="1">
      <c r="A666" s="245">
        <v>3</v>
      </c>
      <c r="B666" s="529" t="s">
        <v>399</v>
      </c>
      <c r="C666" s="247"/>
      <c r="D666" s="170" t="s">
        <v>46</v>
      </c>
      <c r="E666" s="532">
        <v>7235.53</v>
      </c>
      <c r="F666" s="171" t="s">
        <v>30</v>
      </c>
      <c r="G666" s="243"/>
    </row>
    <row r="667" spans="1:7" ht="19.5" customHeight="1">
      <c r="A667" s="245"/>
      <c r="B667" s="529"/>
      <c r="C667" s="247"/>
      <c r="D667" s="170"/>
      <c r="E667" s="532"/>
      <c r="F667" s="171"/>
      <c r="G667" s="243"/>
    </row>
    <row r="668" spans="1:7" ht="19.5" customHeight="1">
      <c r="A668" s="245"/>
      <c r="B668" s="254"/>
      <c r="C668" s="788"/>
      <c r="D668" s="788"/>
      <c r="E668" s="533"/>
      <c r="F668" s="248"/>
      <c r="G668" s="243"/>
    </row>
    <row r="669" spans="1:7" ht="19.5" customHeight="1">
      <c r="A669" s="245"/>
      <c r="B669" s="254"/>
      <c r="C669" s="159"/>
      <c r="D669" s="159"/>
      <c r="E669" s="533"/>
      <c r="F669" s="248"/>
      <c r="G669" s="243"/>
    </row>
    <row r="670" spans="1:7" ht="19.5" customHeight="1">
      <c r="A670" s="245"/>
      <c r="B670" s="254"/>
      <c r="C670" s="240"/>
      <c r="D670" s="247"/>
      <c r="E670" s="533"/>
      <c r="F670" s="248"/>
      <c r="G670" s="243"/>
    </row>
    <row r="671" spans="1:7" ht="19.5" customHeight="1">
      <c r="A671" s="245"/>
      <c r="B671" s="254"/>
      <c r="C671" s="250"/>
      <c r="D671" s="250"/>
      <c r="E671" s="533"/>
      <c r="F671" s="248"/>
      <c r="G671" s="243"/>
    </row>
    <row r="672" spans="1:7" ht="19.5" customHeight="1">
      <c r="A672" s="245"/>
      <c r="B672" s="254"/>
      <c r="C672" s="250"/>
      <c r="D672" s="250"/>
      <c r="E672" s="533"/>
      <c r="F672" s="248"/>
      <c r="G672" s="243"/>
    </row>
    <row r="673" spans="1:7" ht="19.5" customHeight="1">
      <c r="A673" s="245"/>
      <c r="B673" s="254"/>
      <c r="C673" s="250"/>
      <c r="D673" s="250"/>
      <c r="E673" s="533"/>
      <c r="F673" s="248"/>
      <c r="G673" s="243"/>
    </row>
    <row r="674" spans="1:7" ht="19.5" customHeight="1" thickBot="1">
      <c r="A674" s="251"/>
      <c r="B674" s="496"/>
      <c r="C674" s="648"/>
      <c r="D674" s="252" t="s">
        <v>70</v>
      </c>
      <c r="E674" s="595">
        <f>SUM(E662:E667)</f>
        <v>1256695.22</v>
      </c>
      <c r="F674" s="252" t="s">
        <v>30</v>
      </c>
      <c r="G674" s="253"/>
    </row>
    <row r="675" spans="1:7" ht="16.5" customHeight="1">
      <c r="A675" s="254"/>
      <c r="B675" s="254"/>
      <c r="C675" s="240"/>
      <c r="D675" s="255"/>
      <c r="E675" s="592"/>
      <c r="F675" s="255"/>
      <c r="G675" s="171"/>
    </row>
    <row r="676" spans="1:7" ht="27" customHeight="1">
      <c r="A676" s="254"/>
      <c r="B676" s="254"/>
      <c r="C676" s="159"/>
      <c r="D676" s="171"/>
      <c r="E676" s="539" t="s">
        <v>265</v>
      </c>
      <c r="F676" s="159"/>
      <c r="G676" s="171"/>
    </row>
    <row r="677" spans="1:7" ht="27" customHeight="1">
      <c r="A677" s="254"/>
      <c r="B677" s="254"/>
      <c r="C677" s="159"/>
      <c r="D677" s="171"/>
      <c r="E677" s="760" t="s">
        <v>169</v>
      </c>
      <c r="F677" s="760"/>
      <c r="G677" s="171"/>
    </row>
    <row r="678" spans="1:7" ht="23.25" customHeight="1">
      <c r="A678" s="254"/>
      <c r="B678" s="254"/>
      <c r="C678" s="159"/>
      <c r="D678" s="760" t="s">
        <v>376</v>
      </c>
      <c r="E678" s="760"/>
      <c r="F678" s="760"/>
      <c r="G678" s="760"/>
    </row>
    <row r="679" spans="1:7" ht="21" customHeight="1">
      <c r="A679" s="254"/>
      <c r="B679" s="254"/>
      <c r="C679" s="159"/>
      <c r="D679" s="171"/>
      <c r="E679" s="533"/>
      <c r="F679" s="171"/>
      <c r="G679" s="171"/>
    </row>
    <row r="680" spans="1:7" ht="16.5" customHeight="1">
      <c r="A680" s="254"/>
      <c r="B680" s="254"/>
      <c r="C680" s="159"/>
      <c r="D680" s="171"/>
      <c r="E680" s="792" t="s">
        <v>264</v>
      </c>
      <c r="F680" s="792"/>
      <c r="G680" s="171"/>
    </row>
    <row r="681" spans="1:7" ht="21" customHeight="1">
      <c r="A681" s="254"/>
      <c r="B681" s="254"/>
      <c r="C681" s="159"/>
      <c r="D681" s="256"/>
      <c r="E681" s="533"/>
      <c r="F681" s="255"/>
      <c r="G681" s="171"/>
    </row>
    <row r="682" spans="1:7" ht="24.75" customHeight="1">
      <c r="A682" s="254"/>
      <c r="B682" s="254"/>
      <c r="C682" s="159"/>
      <c r="D682" s="171"/>
      <c r="E682" s="539" t="s">
        <v>266</v>
      </c>
      <c r="F682" s="159"/>
      <c r="G682" s="171"/>
    </row>
    <row r="683" spans="1:8" ht="30" customHeight="1">
      <c r="A683" s="254"/>
      <c r="B683" s="254"/>
      <c r="C683" s="257"/>
      <c r="D683" s="171"/>
      <c r="E683" s="792" t="s">
        <v>402</v>
      </c>
      <c r="F683" s="792"/>
      <c r="G683" s="792"/>
      <c r="H683" s="792"/>
    </row>
    <row r="684" spans="1:7" ht="30" customHeight="1">
      <c r="A684" s="254"/>
      <c r="B684" s="254"/>
      <c r="C684" s="240"/>
      <c r="D684" s="795" t="s">
        <v>403</v>
      </c>
      <c r="E684" s="795"/>
      <c r="F684" s="795"/>
      <c r="G684" s="795"/>
    </row>
    <row r="685" spans="6:7" ht="21" customHeight="1">
      <c r="F685" s="780" t="s">
        <v>442</v>
      </c>
      <c r="G685" s="780"/>
    </row>
    <row r="686" spans="5:7" ht="21" customHeight="1">
      <c r="E686" s="746" t="s">
        <v>430</v>
      </c>
      <c r="F686" s="746"/>
      <c r="G686" s="746"/>
    </row>
    <row r="687" spans="1:7" ht="21" customHeight="1">
      <c r="A687" s="744" t="s">
        <v>89</v>
      </c>
      <c r="B687" s="744"/>
      <c r="C687" s="744"/>
      <c r="D687" s="744"/>
      <c r="E687" s="744"/>
      <c r="F687" s="744"/>
      <c r="G687" s="744"/>
    </row>
    <row r="688" spans="1:4" ht="21" customHeight="1" thickBot="1">
      <c r="A688" s="174" t="s">
        <v>121</v>
      </c>
      <c r="B688" s="174"/>
      <c r="C688" s="174"/>
      <c r="D688" s="223"/>
    </row>
    <row r="689" spans="1:7" ht="21" customHeight="1" thickBot="1">
      <c r="A689" s="769" t="s">
        <v>52</v>
      </c>
      <c r="B689" s="781"/>
      <c r="C689" s="781"/>
      <c r="D689" s="782"/>
      <c r="E689" s="588" t="s">
        <v>47</v>
      </c>
      <c r="F689" s="225" t="s">
        <v>9</v>
      </c>
      <c r="G689" s="226" t="s">
        <v>10</v>
      </c>
    </row>
    <row r="690" spans="1:7" ht="21" customHeight="1">
      <c r="A690" s="185" t="s">
        <v>109</v>
      </c>
      <c r="B690" s="186"/>
      <c r="C690" s="186"/>
      <c r="D690" s="186"/>
      <c r="E690" s="589" t="s">
        <v>242</v>
      </c>
      <c r="F690" s="227">
        <v>92800.75</v>
      </c>
      <c r="G690" s="228"/>
    </row>
    <row r="691" spans="1:7" ht="21" customHeight="1">
      <c r="A691" s="185"/>
      <c r="B691" s="186"/>
      <c r="C691" s="186" t="s">
        <v>110</v>
      </c>
      <c r="D691" s="186"/>
      <c r="E691" s="590" t="s">
        <v>241</v>
      </c>
      <c r="F691" s="230"/>
      <c r="G691" s="231">
        <f>SUM(F690:F690)</f>
        <v>92800.75</v>
      </c>
    </row>
    <row r="692" spans="1:7" ht="21" customHeight="1">
      <c r="A692" s="232"/>
      <c r="B692" s="233"/>
      <c r="C692" s="233"/>
      <c r="D692" s="233"/>
      <c r="E692" s="590"/>
      <c r="F692" s="230"/>
      <c r="G692" s="231"/>
    </row>
    <row r="693" spans="1:7" ht="21" customHeight="1">
      <c r="A693" s="232"/>
      <c r="B693" s="233"/>
      <c r="C693" s="233"/>
      <c r="D693" s="233"/>
      <c r="E693" s="590"/>
      <c r="F693" s="230"/>
      <c r="G693" s="231"/>
    </row>
    <row r="694" spans="1:7" ht="21" customHeight="1">
      <c r="A694" s="232"/>
      <c r="B694" s="233"/>
      <c r="C694" s="233"/>
      <c r="D694" s="233"/>
      <c r="E694" s="590"/>
      <c r="F694" s="230"/>
      <c r="G694" s="231"/>
    </row>
    <row r="695" spans="1:7" ht="21" customHeight="1">
      <c r="A695" s="232"/>
      <c r="B695" s="233"/>
      <c r="C695" s="233"/>
      <c r="D695" s="233"/>
      <c r="E695" s="590"/>
      <c r="F695" s="230"/>
      <c r="G695" s="231"/>
    </row>
    <row r="696" spans="1:7" ht="21" customHeight="1">
      <c r="A696" s="232"/>
      <c r="B696" s="233"/>
      <c r="C696" s="233"/>
      <c r="D696" s="233"/>
      <c r="E696" s="590"/>
      <c r="F696" s="234"/>
      <c r="G696" s="231"/>
    </row>
    <row r="697" spans="1:7" ht="21" customHeight="1">
      <c r="A697" s="232"/>
      <c r="B697" s="233"/>
      <c r="C697" s="233"/>
      <c r="D697" s="233"/>
      <c r="E697" s="590"/>
      <c r="F697" s="234"/>
      <c r="G697" s="231"/>
    </row>
    <row r="698" spans="1:7" ht="21.75" customHeight="1" thickBot="1">
      <c r="A698" s="235"/>
      <c r="B698" s="236"/>
      <c r="C698" s="236"/>
      <c r="D698" s="237"/>
      <c r="E698" s="591"/>
      <c r="F698" s="238">
        <f>SUM(F690:F691)</f>
        <v>92800.75</v>
      </c>
      <c r="G698" s="239">
        <f>SUM(G691:G691)</f>
        <v>92800.75</v>
      </c>
    </row>
    <row r="699" spans="1:7" ht="19.5" customHeight="1" thickTop="1">
      <c r="A699" s="217" t="s">
        <v>90</v>
      </c>
      <c r="B699" s="240" t="s">
        <v>124</v>
      </c>
      <c r="C699" s="241"/>
      <c r="D699" s="242"/>
      <c r="E699" s="532"/>
      <c r="F699" s="171"/>
      <c r="G699" s="550"/>
    </row>
    <row r="700" spans="1:7" ht="19.5" customHeight="1">
      <c r="A700" s="244"/>
      <c r="B700" s="240" t="s">
        <v>171</v>
      </c>
      <c r="C700" s="241"/>
      <c r="D700" s="242"/>
      <c r="E700" s="532"/>
      <c r="F700" s="171"/>
      <c r="G700" s="243"/>
    </row>
    <row r="701" spans="1:7" ht="19.5" customHeight="1">
      <c r="A701" s="245">
        <v>1</v>
      </c>
      <c r="B701" s="540" t="s">
        <v>399</v>
      </c>
      <c r="C701" s="540"/>
      <c r="D701" s="170" t="s">
        <v>46</v>
      </c>
      <c r="E701" s="532">
        <v>10710.96</v>
      </c>
      <c r="F701" s="171" t="s">
        <v>30</v>
      </c>
      <c r="G701" s="243"/>
    </row>
    <row r="702" spans="1:7" ht="19.5" customHeight="1">
      <c r="A702" s="245">
        <v>2</v>
      </c>
      <c r="B702" s="246" t="s">
        <v>412</v>
      </c>
      <c r="C702" s="246"/>
      <c r="D702" s="170" t="s">
        <v>46</v>
      </c>
      <c r="E702" s="532">
        <v>862.88</v>
      </c>
      <c r="F702" s="171" t="s">
        <v>30</v>
      </c>
      <c r="G702" s="243"/>
    </row>
    <row r="703" spans="1:7" ht="19.5" customHeight="1">
      <c r="A703" s="245">
        <v>3</v>
      </c>
      <c r="B703" s="240" t="s">
        <v>412</v>
      </c>
      <c r="C703" s="247"/>
      <c r="D703" s="170" t="s">
        <v>46</v>
      </c>
      <c r="E703" s="537">
        <v>81168.71</v>
      </c>
      <c r="F703" s="171" t="s">
        <v>30</v>
      </c>
      <c r="G703" s="243"/>
    </row>
    <row r="704" spans="1:7" ht="19.5" customHeight="1">
      <c r="A704" s="245">
        <v>4</v>
      </c>
      <c r="B704" s="240" t="s">
        <v>443</v>
      </c>
      <c r="C704" s="249"/>
      <c r="D704" s="170" t="s">
        <v>46</v>
      </c>
      <c r="E704" s="532">
        <v>58.2</v>
      </c>
      <c r="F704" s="171" t="s">
        <v>30</v>
      </c>
      <c r="G704" s="243"/>
    </row>
    <row r="705" spans="1:7" ht="19.5" customHeight="1">
      <c r="A705" s="245"/>
      <c r="B705" s="529"/>
      <c r="C705" s="247"/>
      <c r="D705" s="170"/>
      <c r="E705" s="532"/>
      <c r="F705" s="171"/>
      <c r="G705" s="243"/>
    </row>
    <row r="706" spans="1:7" ht="19.5" customHeight="1">
      <c r="A706" s="245"/>
      <c r="B706" s="254"/>
      <c r="C706" s="529"/>
      <c r="D706" s="247"/>
      <c r="E706" s="533"/>
      <c r="F706" s="171"/>
      <c r="G706" s="243"/>
    </row>
    <row r="707" spans="1:7" ht="19.5" customHeight="1">
      <c r="A707" s="245"/>
      <c r="B707" s="254"/>
      <c r="C707" s="788"/>
      <c r="D707" s="788"/>
      <c r="E707" s="533"/>
      <c r="F707" s="248"/>
      <c r="G707" s="243"/>
    </row>
    <row r="708" spans="1:7" ht="19.5" customHeight="1">
      <c r="A708" s="245"/>
      <c r="B708" s="254"/>
      <c r="C708" s="159"/>
      <c r="D708" s="159"/>
      <c r="E708" s="533"/>
      <c r="F708" s="248"/>
      <c r="G708" s="243"/>
    </row>
    <row r="709" spans="1:7" ht="19.5" customHeight="1">
      <c r="A709" s="245"/>
      <c r="B709" s="254"/>
      <c r="C709" s="240"/>
      <c r="D709" s="247"/>
      <c r="E709" s="533"/>
      <c r="F709" s="248"/>
      <c r="G709" s="243"/>
    </row>
    <row r="710" spans="1:7" ht="19.5" customHeight="1">
      <c r="A710" s="245"/>
      <c r="B710" s="254"/>
      <c r="C710" s="250"/>
      <c r="D710" s="250"/>
      <c r="E710" s="533"/>
      <c r="F710" s="248"/>
      <c r="G710" s="243"/>
    </row>
    <row r="711" spans="1:7" ht="19.5" customHeight="1">
      <c r="A711" s="245"/>
      <c r="B711" s="254"/>
      <c r="C711" s="250"/>
      <c r="D711" s="250"/>
      <c r="E711" s="533"/>
      <c r="F711" s="248"/>
      <c r="G711" s="243"/>
    </row>
    <row r="712" spans="1:7" ht="19.5" customHeight="1">
      <c r="A712" s="245"/>
      <c r="B712" s="254"/>
      <c r="C712" s="250"/>
      <c r="D712" s="250"/>
      <c r="E712" s="533"/>
      <c r="F712" s="248"/>
      <c r="G712" s="243"/>
    </row>
    <row r="713" spans="1:7" ht="19.5" customHeight="1" thickBot="1">
      <c r="A713" s="251"/>
      <c r="B713" s="496"/>
      <c r="C713" s="648"/>
      <c r="D713" s="252" t="s">
        <v>70</v>
      </c>
      <c r="E713" s="595">
        <f>SUM(E701:E712)</f>
        <v>92800.75</v>
      </c>
      <c r="F713" s="252" t="s">
        <v>30</v>
      </c>
      <c r="G713" s="253"/>
    </row>
    <row r="714" spans="1:7" ht="16.5" customHeight="1">
      <c r="A714" s="254"/>
      <c r="B714" s="254"/>
      <c r="C714" s="240"/>
      <c r="D714" s="255"/>
      <c r="E714" s="592"/>
      <c r="F714" s="255"/>
      <c r="G714" s="171"/>
    </row>
    <row r="715" spans="1:7" ht="27" customHeight="1">
      <c r="A715" s="254"/>
      <c r="B715" s="254"/>
      <c r="C715" s="159"/>
      <c r="D715" s="171"/>
      <c r="E715" s="539" t="s">
        <v>265</v>
      </c>
      <c r="F715" s="159"/>
      <c r="G715" s="171"/>
    </row>
    <row r="716" spans="1:7" ht="27" customHeight="1">
      <c r="A716" s="254"/>
      <c r="B716" s="254"/>
      <c r="C716" s="159"/>
      <c r="D716" s="171"/>
      <c r="E716" s="760" t="s">
        <v>169</v>
      </c>
      <c r="F716" s="760"/>
      <c r="G716" s="171"/>
    </row>
    <row r="717" spans="1:7" ht="23.25" customHeight="1">
      <c r="A717" s="254"/>
      <c r="B717" s="254"/>
      <c r="C717" s="159"/>
      <c r="D717" s="760" t="s">
        <v>376</v>
      </c>
      <c r="E717" s="760"/>
      <c r="F717" s="760"/>
      <c r="G717" s="760"/>
    </row>
    <row r="718" spans="1:7" ht="21" customHeight="1">
      <c r="A718" s="254"/>
      <c r="B718" s="254"/>
      <c r="C718" s="159"/>
      <c r="D718" s="171"/>
      <c r="E718" s="533"/>
      <c r="F718" s="171"/>
      <c r="G718" s="171"/>
    </row>
    <row r="719" spans="1:7" ht="16.5" customHeight="1">
      <c r="A719" s="254"/>
      <c r="B719" s="254"/>
      <c r="C719" s="159"/>
      <c r="D719" s="171"/>
      <c r="E719" s="792" t="s">
        <v>264</v>
      </c>
      <c r="F719" s="792"/>
      <c r="G719" s="171"/>
    </row>
    <row r="720" spans="1:7" ht="21" customHeight="1">
      <c r="A720" s="254"/>
      <c r="B720" s="254"/>
      <c r="C720" s="159"/>
      <c r="D720" s="256"/>
      <c r="E720" s="533"/>
      <c r="F720" s="255"/>
      <c r="G720" s="171"/>
    </row>
    <row r="721" spans="1:7" ht="24.75" customHeight="1">
      <c r="A721" s="254"/>
      <c r="B721" s="254"/>
      <c r="C721" s="159"/>
      <c r="D721" s="171"/>
      <c r="E721" s="539" t="s">
        <v>266</v>
      </c>
      <c r="F721" s="159"/>
      <c r="G721" s="171"/>
    </row>
    <row r="722" spans="1:8" ht="30" customHeight="1">
      <c r="A722" s="254"/>
      <c r="B722" s="254"/>
      <c r="C722" s="257"/>
      <c r="D722" s="171"/>
      <c r="E722" s="792" t="s">
        <v>402</v>
      </c>
      <c r="F722" s="792"/>
      <c r="G722" s="792"/>
      <c r="H722" s="792"/>
    </row>
    <row r="723" spans="1:7" ht="30" customHeight="1">
      <c r="A723" s="254"/>
      <c r="B723" s="254"/>
      <c r="C723" s="240"/>
      <c r="D723" s="795" t="s">
        <v>403</v>
      </c>
      <c r="E723" s="795"/>
      <c r="F723" s="795"/>
      <c r="G723" s="795"/>
    </row>
    <row r="724" spans="6:7" ht="21" customHeight="1">
      <c r="F724" s="780" t="s">
        <v>444</v>
      </c>
      <c r="G724" s="780"/>
    </row>
    <row r="725" spans="5:7" ht="21" customHeight="1">
      <c r="E725" s="746" t="s">
        <v>430</v>
      </c>
      <c r="F725" s="746"/>
      <c r="G725" s="746"/>
    </row>
    <row r="726" spans="1:7" ht="21" customHeight="1">
      <c r="A726" s="744" t="s">
        <v>89</v>
      </c>
      <c r="B726" s="744"/>
      <c r="C726" s="744"/>
      <c r="D726" s="744"/>
      <c r="E726" s="744"/>
      <c r="F726" s="744"/>
      <c r="G726" s="744"/>
    </row>
    <row r="727" spans="1:4" ht="21" customHeight="1" thickBot="1">
      <c r="A727" s="174" t="s">
        <v>121</v>
      </c>
      <c r="B727" s="174"/>
      <c r="C727" s="174"/>
      <c r="D727" s="223"/>
    </row>
    <row r="728" spans="1:7" ht="21" customHeight="1" thickBot="1">
      <c r="A728" s="769" t="s">
        <v>52</v>
      </c>
      <c r="B728" s="781"/>
      <c r="C728" s="781"/>
      <c r="D728" s="782"/>
      <c r="E728" s="588" t="s">
        <v>47</v>
      </c>
      <c r="F728" s="225" t="s">
        <v>9</v>
      </c>
      <c r="G728" s="226" t="s">
        <v>10</v>
      </c>
    </row>
    <row r="729" spans="1:7" ht="21" customHeight="1">
      <c r="A729" s="185" t="s">
        <v>1</v>
      </c>
      <c r="B729" s="186"/>
      <c r="C729" s="186"/>
      <c r="D729" s="186"/>
      <c r="E729" s="589" t="s">
        <v>193</v>
      </c>
      <c r="F729" s="227">
        <v>7689.28</v>
      </c>
      <c r="G729" s="228"/>
    </row>
    <row r="730" spans="1:7" ht="21" customHeight="1">
      <c r="A730" s="185"/>
      <c r="B730" s="186"/>
      <c r="C730" s="186" t="s">
        <v>360</v>
      </c>
      <c r="D730" s="186"/>
      <c r="E730" s="590" t="s">
        <v>247</v>
      </c>
      <c r="F730" s="230"/>
      <c r="G730" s="231">
        <f>SUM(F729:F729)</f>
        <v>7689.28</v>
      </c>
    </row>
    <row r="731" spans="1:7" ht="21" customHeight="1">
      <c r="A731" s="232"/>
      <c r="B731" s="233"/>
      <c r="C731" s="233"/>
      <c r="D731" s="233"/>
      <c r="E731" s="590"/>
      <c r="F731" s="230"/>
      <c r="G731" s="231"/>
    </row>
    <row r="732" spans="1:7" ht="21" customHeight="1">
      <c r="A732" s="232"/>
      <c r="B732" s="233"/>
      <c r="C732" s="233"/>
      <c r="D732" s="233"/>
      <c r="E732" s="590"/>
      <c r="F732" s="230"/>
      <c r="G732" s="231"/>
    </row>
    <row r="733" spans="1:7" ht="21" customHeight="1">
      <c r="A733" s="232"/>
      <c r="B733" s="233"/>
      <c r="C733" s="233"/>
      <c r="D733" s="233"/>
      <c r="E733" s="590"/>
      <c r="F733" s="230"/>
      <c r="G733" s="231"/>
    </row>
    <row r="734" spans="1:7" ht="21" customHeight="1">
      <c r="A734" s="232"/>
      <c r="B734" s="233"/>
      <c r="C734" s="233"/>
      <c r="D734" s="233"/>
      <c r="E734" s="590"/>
      <c r="F734" s="230"/>
      <c r="G734" s="231"/>
    </row>
    <row r="735" spans="1:7" ht="21" customHeight="1">
      <c r="A735" s="232"/>
      <c r="B735" s="233"/>
      <c r="C735" s="233"/>
      <c r="D735" s="233"/>
      <c r="E735" s="590"/>
      <c r="F735" s="234"/>
      <c r="G735" s="231"/>
    </row>
    <row r="736" spans="1:7" ht="21" customHeight="1">
      <c r="A736" s="232"/>
      <c r="B736" s="233"/>
      <c r="C736" s="233"/>
      <c r="D736" s="233"/>
      <c r="E736" s="590"/>
      <c r="F736" s="234"/>
      <c r="G736" s="231"/>
    </row>
    <row r="737" spans="1:7" ht="21.75" customHeight="1" thickBot="1">
      <c r="A737" s="235"/>
      <c r="B737" s="236"/>
      <c r="C737" s="236"/>
      <c r="D737" s="237"/>
      <c r="E737" s="591"/>
      <c r="F737" s="238">
        <f>SUM(F729:F730)</f>
        <v>7689.28</v>
      </c>
      <c r="G737" s="239">
        <f>SUM(G730:G730)</f>
        <v>7689.28</v>
      </c>
    </row>
    <row r="738" spans="1:7" ht="19.5" customHeight="1" thickTop="1">
      <c r="A738" s="217" t="s">
        <v>90</v>
      </c>
      <c r="B738" s="240" t="s">
        <v>445</v>
      </c>
      <c r="C738" s="241"/>
      <c r="D738" s="242"/>
      <c r="E738" s="532"/>
      <c r="F738" s="552"/>
      <c r="G738" s="550"/>
    </row>
    <row r="739" spans="1:7" ht="19.5" customHeight="1">
      <c r="A739" s="244"/>
      <c r="B739" s="240"/>
      <c r="C739" s="241"/>
      <c r="D739" s="242"/>
      <c r="E739" s="532"/>
      <c r="F739" s="171"/>
      <c r="G739" s="243"/>
    </row>
    <row r="740" spans="1:7" ht="19.5" customHeight="1">
      <c r="A740" s="245">
        <v>1</v>
      </c>
      <c r="B740" s="540" t="s">
        <v>446</v>
      </c>
      <c r="C740" s="540"/>
      <c r="D740" s="170" t="s">
        <v>46</v>
      </c>
      <c r="E740" s="532">
        <v>7689.28</v>
      </c>
      <c r="F740" s="171" t="s">
        <v>30</v>
      </c>
      <c r="G740" s="243"/>
    </row>
    <row r="741" spans="1:7" ht="19.5" customHeight="1">
      <c r="A741" s="245"/>
      <c r="B741" s="246" t="s">
        <v>447</v>
      </c>
      <c r="C741" s="246"/>
      <c r="D741" s="170"/>
      <c r="E741" s="532"/>
      <c r="F741" s="171"/>
      <c r="G741" s="243"/>
    </row>
    <row r="742" spans="1:7" ht="19.5" customHeight="1">
      <c r="A742" s="245"/>
      <c r="B742" s="240"/>
      <c r="C742" s="247"/>
      <c r="D742" s="170"/>
      <c r="E742" s="537"/>
      <c r="F742" s="171"/>
      <c r="G742" s="243"/>
    </row>
    <row r="743" spans="1:7" ht="19.5" customHeight="1">
      <c r="A743" s="245"/>
      <c r="B743" s="254"/>
      <c r="C743" s="788"/>
      <c r="D743" s="788"/>
      <c r="E743" s="533"/>
      <c r="F743" s="171"/>
      <c r="G743" s="243"/>
    </row>
    <row r="744" spans="1:7" ht="19.5" customHeight="1">
      <c r="A744" s="245"/>
      <c r="B744" s="254"/>
      <c r="C744" s="792"/>
      <c r="D744" s="792"/>
      <c r="E744" s="533"/>
      <c r="F744" s="171"/>
      <c r="G744" s="243"/>
    </row>
    <row r="745" spans="1:7" ht="19.5" customHeight="1">
      <c r="A745" s="245"/>
      <c r="B745" s="254"/>
      <c r="C745" s="240"/>
      <c r="D745" s="247"/>
      <c r="E745" s="533"/>
      <c r="F745" s="248"/>
      <c r="G745" s="243"/>
    </row>
    <row r="746" spans="1:7" ht="19.5" customHeight="1">
      <c r="A746" s="245"/>
      <c r="B746" s="254"/>
      <c r="C746" s="250"/>
      <c r="D746" s="250"/>
      <c r="E746" s="533"/>
      <c r="F746" s="248"/>
      <c r="G746" s="243"/>
    </row>
    <row r="747" spans="1:7" ht="19.5" customHeight="1">
      <c r="A747" s="245"/>
      <c r="B747" s="254"/>
      <c r="C747" s="250"/>
      <c r="D747" s="250"/>
      <c r="E747" s="533"/>
      <c r="F747" s="248"/>
      <c r="G747" s="243"/>
    </row>
    <row r="748" spans="1:7" ht="19.5" customHeight="1">
      <c r="A748" s="245"/>
      <c r="B748" s="254"/>
      <c r="C748" s="250"/>
      <c r="D748" s="250"/>
      <c r="E748" s="533"/>
      <c r="F748" s="248"/>
      <c r="G748" s="243"/>
    </row>
    <row r="749" spans="1:7" ht="19.5" customHeight="1">
      <c r="A749" s="245"/>
      <c r="B749" s="254"/>
      <c r="C749" s="250"/>
      <c r="D749" s="250"/>
      <c r="E749" s="533"/>
      <c r="F749" s="248"/>
      <c r="G749" s="243"/>
    </row>
    <row r="750" spans="1:7" ht="19.5" customHeight="1">
      <c r="A750" s="245"/>
      <c r="B750" s="254"/>
      <c r="C750" s="250"/>
      <c r="D750" s="250"/>
      <c r="E750" s="533"/>
      <c r="F750" s="248"/>
      <c r="G750" s="243"/>
    </row>
    <row r="751" spans="1:7" ht="19.5" customHeight="1">
      <c r="A751" s="245"/>
      <c r="B751" s="254"/>
      <c r="C751" s="250"/>
      <c r="D751" s="250"/>
      <c r="E751" s="533"/>
      <c r="F751" s="248"/>
      <c r="G751" s="243"/>
    </row>
    <row r="752" spans="1:7" ht="19.5" customHeight="1" thickBot="1">
      <c r="A752" s="251"/>
      <c r="B752" s="496"/>
      <c r="C752" s="648"/>
      <c r="D752" s="252"/>
      <c r="E752" s="593"/>
      <c r="F752" s="252"/>
      <c r="G752" s="253"/>
    </row>
    <row r="753" spans="1:7" ht="16.5" customHeight="1">
      <c r="A753" s="254"/>
      <c r="B753" s="254"/>
      <c r="C753" s="240"/>
      <c r="D753" s="255"/>
      <c r="E753" s="592"/>
      <c r="F753" s="255"/>
      <c r="G753" s="171"/>
    </row>
    <row r="754" spans="1:7" ht="27" customHeight="1">
      <c r="A754" s="254"/>
      <c r="B754" s="254"/>
      <c r="C754" s="159"/>
      <c r="D754" s="171"/>
      <c r="E754" s="539" t="s">
        <v>265</v>
      </c>
      <c r="F754" s="159"/>
      <c r="G754" s="171"/>
    </row>
    <row r="755" spans="1:7" ht="27" customHeight="1">
      <c r="A755" s="254"/>
      <c r="B755" s="254"/>
      <c r="C755" s="159"/>
      <c r="D755" s="171"/>
      <c r="E755" s="760" t="s">
        <v>169</v>
      </c>
      <c r="F755" s="760"/>
      <c r="G755" s="171"/>
    </row>
    <row r="756" spans="1:7" ht="23.25" customHeight="1">
      <c r="A756" s="254"/>
      <c r="B756" s="254"/>
      <c r="C756" s="159"/>
      <c r="D756" s="760" t="s">
        <v>376</v>
      </c>
      <c r="E756" s="760"/>
      <c r="F756" s="760"/>
      <c r="G756" s="760"/>
    </row>
    <row r="757" spans="1:7" ht="21" customHeight="1">
      <c r="A757" s="254"/>
      <c r="B757" s="254"/>
      <c r="C757" s="159"/>
      <c r="D757" s="171"/>
      <c r="E757" s="533"/>
      <c r="F757" s="171"/>
      <c r="G757" s="171"/>
    </row>
    <row r="758" spans="1:7" ht="16.5" customHeight="1">
      <c r="A758" s="254"/>
      <c r="B758" s="254"/>
      <c r="C758" s="159"/>
      <c r="D758" s="171"/>
      <c r="E758" s="792" t="s">
        <v>264</v>
      </c>
      <c r="F758" s="792"/>
      <c r="G758" s="171"/>
    </row>
    <row r="759" spans="1:7" ht="21" customHeight="1">
      <c r="A759" s="254"/>
      <c r="B759" s="254"/>
      <c r="C759" s="159"/>
      <c r="D759" s="256"/>
      <c r="E759" s="533"/>
      <c r="F759" s="255"/>
      <c r="G759" s="171"/>
    </row>
    <row r="760" spans="1:7" ht="24.75" customHeight="1">
      <c r="A760" s="254"/>
      <c r="B760" s="254"/>
      <c r="C760" s="159"/>
      <c r="D760" s="171"/>
      <c r="E760" s="539" t="s">
        <v>266</v>
      </c>
      <c r="F760" s="159"/>
      <c r="G760" s="171"/>
    </row>
    <row r="761" spans="1:8" ht="30" customHeight="1">
      <c r="A761" s="254"/>
      <c r="B761" s="254"/>
      <c r="C761" s="257"/>
      <c r="D761" s="171"/>
      <c r="E761" s="792" t="s">
        <v>402</v>
      </c>
      <c r="F761" s="792"/>
      <c r="G761" s="792"/>
      <c r="H761" s="792"/>
    </row>
    <row r="762" spans="1:7" ht="30" customHeight="1">
      <c r="A762" s="254"/>
      <c r="B762" s="254"/>
      <c r="C762" s="240"/>
      <c r="D762" s="795" t="s">
        <v>403</v>
      </c>
      <c r="E762" s="795"/>
      <c r="F762" s="795"/>
      <c r="G762" s="795"/>
    </row>
    <row r="763" spans="6:7" ht="21" customHeight="1">
      <c r="F763" s="780" t="s">
        <v>514</v>
      </c>
      <c r="G763" s="780"/>
    </row>
    <row r="764" spans="5:7" ht="21" customHeight="1">
      <c r="E764" s="746" t="s">
        <v>448</v>
      </c>
      <c r="F764" s="746"/>
      <c r="G764" s="746"/>
    </row>
    <row r="765" spans="1:7" ht="21" customHeight="1">
      <c r="A765" s="744" t="s">
        <v>89</v>
      </c>
      <c r="B765" s="744"/>
      <c r="C765" s="744"/>
      <c r="D765" s="744"/>
      <c r="E765" s="744"/>
      <c r="F765" s="744"/>
      <c r="G765" s="744"/>
    </row>
    <row r="766" spans="1:4" ht="21" customHeight="1" thickBot="1">
      <c r="A766" s="174" t="s">
        <v>121</v>
      </c>
      <c r="B766" s="174"/>
      <c r="C766" s="174"/>
      <c r="D766" s="223"/>
    </row>
    <row r="767" spans="1:7" ht="21" customHeight="1" thickBot="1">
      <c r="A767" s="769" t="s">
        <v>52</v>
      </c>
      <c r="B767" s="781"/>
      <c r="C767" s="781"/>
      <c r="D767" s="782"/>
      <c r="E767" s="588" t="s">
        <v>47</v>
      </c>
      <c r="F767" s="225" t="s">
        <v>9</v>
      </c>
      <c r="G767" s="226" t="s">
        <v>10</v>
      </c>
    </row>
    <row r="768" spans="1:7" ht="21" customHeight="1">
      <c r="A768" s="185" t="s">
        <v>6</v>
      </c>
      <c r="B768" s="186"/>
      <c r="C768" s="186"/>
      <c r="D768" s="186"/>
      <c r="E768" s="589" t="s">
        <v>191</v>
      </c>
      <c r="F768" s="227">
        <v>4800</v>
      </c>
      <c r="G768" s="228"/>
    </row>
    <row r="769" spans="1:7" ht="21" customHeight="1">
      <c r="A769" s="185"/>
      <c r="B769" s="186"/>
      <c r="C769" s="186" t="s">
        <v>366</v>
      </c>
      <c r="D769" s="186"/>
      <c r="E769" s="590" t="s">
        <v>357</v>
      </c>
      <c r="F769" s="230"/>
      <c r="G769" s="231">
        <f>SUM(F768:F768)</f>
        <v>4800</v>
      </c>
    </row>
    <row r="770" spans="1:7" ht="21" customHeight="1">
      <c r="A770" s="232"/>
      <c r="B770" s="233"/>
      <c r="C770" s="233"/>
      <c r="D770" s="233"/>
      <c r="E770" s="590"/>
      <c r="F770" s="234"/>
      <c r="G770" s="231"/>
    </row>
    <row r="771" spans="1:7" ht="21" customHeight="1">
      <c r="A771" s="232"/>
      <c r="B771" s="233"/>
      <c r="C771" s="233"/>
      <c r="D771" s="233"/>
      <c r="E771" s="590"/>
      <c r="F771" s="234"/>
      <c r="G771" s="231"/>
    </row>
    <row r="772" spans="1:7" ht="21" customHeight="1">
      <c r="A772" s="232"/>
      <c r="B772" s="233"/>
      <c r="C772" s="233"/>
      <c r="D772" s="233"/>
      <c r="E772" s="590"/>
      <c r="F772" s="234"/>
      <c r="G772" s="231"/>
    </row>
    <row r="773" spans="1:7" ht="21" customHeight="1">
      <c r="A773" s="232"/>
      <c r="B773" s="233"/>
      <c r="C773" s="233"/>
      <c r="D773" s="233"/>
      <c r="E773" s="590"/>
      <c r="F773" s="234"/>
      <c r="G773" s="231"/>
    </row>
    <row r="774" spans="1:7" ht="21" customHeight="1">
      <c r="A774" s="232"/>
      <c r="B774" s="233"/>
      <c r="C774" s="233"/>
      <c r="D774" s="233"/>
      <c r="E774" s="590"/>
      <c r="F774" s="234"/>
      <c r="G774" s="231"/>
    </row>
    <row r="775" spans="1:7" ht="21.75" customHeight="1">
      <c r="A775" s="232"/>
      <c r="B775" s="233"/>
      <c r="C775" s="233"/>
      <c r="D775" s="233"/>
      <c r="E775" s="590"/>
      <c r="F775" s="234"/>
      <c r="G775" s="231"/>
    </row>
    <row r="776" spans="1:7" ht="21.75" customHeight="1">
      <c r="A776" s="232"/>
      <c r="B776" s="233"/>
      <c r="C776" s="233"/>
      <c r="D776" s="233"/>
      <c r="E776" s="596"/>
      <c r="F776" s="258"/>
      <c r="G776" s="259"/>
    </row>
    <row r="777" spans="1:7" ht="21.75" customHeight="1" thickBot="1">
      <c r="A777" s="235"/>
      <c r="B777" s="236"/>
      <c r="C777" s="236"/>
      <c r="D777" s="237"/>
      <c r="E777" s="591"/>
      <c r="F777" s="238">
        <f>SUM(F768:F769)</f>
        <v>4800</v>
      </c>
      <c r="G777" s="239">
        <f>SUM(G769:G769)</f>
        <v>4800</v>
      </c>
    </row>
    <row r="778" spans="1:7" ht="21.75" customHeight="1" thickTop="1">
      <c r="A778" s="217" t="s">
        <v>90</v>
      </c>
      <c r="B778" s="240" t="s">
        <v>367</v>
      </c>
      <c r="C778" s="545"/>
      <c r="D778" s="241"/>
      <c r="E778" s="594"/>
      <c r="F778" s="241"/>
      <c r="G778" s="243"/>
    </row>
    <row r="779" spans="1:7" ht="21.75" customHeight="1">
      <c r="A779" s="217"/>
      <c r="B779" s="545"/>
      <c r="C779" s="240"/>
      <c r="D779" s="241"/>
      <c r="E779" s="594"/>
      <c r="F779" s="241"/>
      <c r="G779" s="243"/>
    </row>
    <row r="780" spans="1:7" ht="21.75" customHeight="1">
      <c r="A780" s="244"/>
      <c r="B780" s="546"/>
      <c r="C780" s="240"/>
      <c r="D780" s="241"/>
      <c r="E780" s="594"/>
      <c r="F780" s="241"/>
      <c r="G780" s="243"/>
    </row>
    <row r="781" spans="1:7" ht="21.75" customHeight="1">
      <c r="A781" s="245"/>
      <c r="B781" s="254"/>
      <c r="C781" s="240"/>
      <c r="D781" s="249"/>
      <c r="E781" s="533"/>
      <c r="F781" s="171"/>
      <c r="G781" s="243"/>
    </row>
    <row r="782" spans="1:7" ht="21.75" customHeight="1">
      <c r="A782" s="245"/>
      <c r="B782" s="254"/>
      <c r="C782" s="788"/>
      <c r="D782" s="788"/>
      <c r="E782" s="533"/>
      <c r="F782" s="171"/>
      <c r="G782" s="243"/>
    </row>
    <row r="783" spans="1:7" ht="21.75" customHeight="1">
      <c r="A783" s="245"/>
      <c r="B783" s="254"/>
      <c r="C783" s="788"/>
      <c r="D783" s="788"/>
      <c r="E783" s="533"/>
      <c r="F783" s="171"/>
      <c r="G783" s="243"/>
    </row>
    <row r="784" spans="1:7" ht="21.75" customHeight="1">
      <c r="A784" s="245"/>
      <c r="B784" s="254"/>
      <c r="C784" s="791"/>
      <c r="D784" s="791"/>
      <c r="E784" s="533"/>
      <c r="F784" s="171"/>
      <c r="G784" s="243"/>
    </row>
    <row r="785" spans="1:7" ht="21.75" customHeight="1">
      <c r="A785" s="245"/>
      <c r="B785" s="254"/>
      <c r="C785" s="788"/>
      <c r="D785" s="788"/>
      <c r="E785" s="533"/>
      <c r="F785" s="171"/>
      <c r="G785" s="243"/>
    </row>
    <row r="786" spans="1:7" ht="21.75" customHeight="1">
      <c r="A786" s="245"/>
      <c r="B786" s="254"/>
      <c r="C786" s="788"/>
      <c r="D786" s="788"/>
      <c r="E786" s="533"/>
      <c r="F786" s="171"/>
      <c r="G786" s="243"/>
    </row>
    <row r="787" spans="1:7" ht="21.75" customHeight="1">
      <c r="A787" s="245"/>
      <c r="B787" s="254"/>
      <c r="C787" s="788"/>
      <c r="D787" s="788"/>
      <c r="E787" s="533"/>
      <c r="F787" s="171"/>
      <c r="G787" s="243"/>
    </row>
    <row r="788" spans="1:7" ht="21.75" customHeight="1" thickBot="1">
      <c r="A788" s="251"/>
      <c r="B788" s="496"/>
      <c r="C788" s="648"/>
      <c r="D788" s="252"/>
      <c r="E788" s="593"/>
      <c r="F788" s="252"/>
      <c r="G788" s="253"/>
    </row>
    <row r="789" spans="1:7" ht="16.5" customHeight="1">
      <c r="A789" s="260"/>
      <c r="B789" s="260"/>
      <c r="C789" s="601"/>
      <c r="D789" s="261"/>
      <c r="E789" s="597"/>
      <c r="F789" s="261"/>
      <c r="G789" s="262"/>
    </row>
    <row r="790" spans="1:7" ht="27" customHeight="1">
      <c r="A790" s="254"/>
      <c r="B790" s="254"/>
      <c r="C790" s="159"/>
      <c r="D790" s="171"/>
      <c r="E790" s="539" t="s">
        <v>265</v>
      </c>
      <c r="F790" s="159"/>
      <c r="G790" s="171"/>
    </row>
    <row r="791" spans="1:7" ht="27" customHeight="1">
      <c r="A791" s="254"/>
      <c r="B791" s="254"/>
      <c r="C791" s="159"/>
      <c r="D791" s="171"/>
      <c r="E791" s="760" t="s">
        <v>169</v>
      </c>
      <c r="F791" s="760"/>
      <c r="G791" s="171"/>
    </row>
    <row r="792" spans="1:7" ht="25.5" customHeight="1">
      <c r="A792" s="254"/>
      <c r="B792" s="254"/>
      <c r="C792" s="159"/>
      <c r="D792" s="760" t="s">
        <v>377</v>
      </c>
      <c r="E792" s="760"/>
      <c r="F792" s="760"/>
      <c r="G792" s="760"/>
    </row>
    <row r="793" spans="1:7" ht="21" customHeight="1">
      <c r="A793" s="254"/>
      <c r="B793" s="254"/>
      <c r="C793" s="159"/>
      <c r="D793" s="171"/>
      <c r="E793" s="533"/>
      <c r="F793" s="171"/>
      <c r="G793" s="171"/>
    </row>
    <row r="794" spans="1:7" ht="19.5" customHeight="1">
      <c r="A794" s="254"/>
      <c r="B794" s="254"/>
      <c r="C794" s="159"/>
      <c r="D794" s="171"/>
      <c r="E794" s="792" t="s">
        <v>264</v>
      </c>
      <c r="F794" s="792"/>
      <c r="G794" s="171"/>
    </row>
    <row r="795" spans="1:7" ht="21" customHeight="1">
      <c r="A795" s="254"/>
      <c r="B795" s="254"/>
      <c r="C795" s="159"/>
      <c r="D795" s="256"/>
      <c r="E795" s="533"/>
      <c r="F795" s="255"/>
      <c r="G795" s="171"/>
    </row>
    <row r="796" spans="1:7" ht="24.75" customHeight="1">
      <c r="A796" s="254"/>
      <c r="B796" s="254"/>
      <c r="C796" s="159"/>
      <c r="D796" s="171"/>
      <c r="E796" s="539" t="s">
        <v>266</v>
      </c>
      <c r="F796" s="159"/>
      <c r="G796" s="171"/>
    </row>
    <row r="797" spans="1:8" ht="30" customHeight="1">
      <c r="A797" s="254"/>
      <c r="B797" s="254"/>
      <c r="C797" s="257"/>
      <c r="D797" s="171"/>
      <c r="E797" s="792" t="s">
        <v>402</v>
      </c>
      <c r="F797" s="792"/>
      <c r="G797" s="792"/>
      <c r="H797" s="792"/>
    </row>
    <row r="798" spans="1:7" ht="30" customHeight="1">
      <c r="A798" s="254"/>
      <c r="B798" s="254"/>
      <c r="C798" s="240"/>
      <c r="D798" s="795" t="s">
        <v>403</v>
      </c>
      <c r="E798" s="795"/>
      <c r="F798" s="795"/>
      <c r="G798" s="795"/>
    </row>
    <row r="799" spans="1:7" ht="30" customHeight="1">
      <c r="A799" s="254"/>
      <c r="B799" s="254"/>
      <c r="C799" s="240"/>
      <c r="D799" s="172"/>
      <c r="E799" s="598"/>
      <c r="F799" s="172"/>
      <c r="G799" s="172"/>
    </row>
    <row r="800" spans="6:7" ht="21" customHeight="1">
      <c r="F800" s="780" t="s">
        <v>450</v>
      </c>
      <c r="G800" s="780"/>
    </row>
    <row r="801" spans="5:7" ht="21" customHeight="1">
      <c r="E801" s="746" t="s">
        <v>448</v>
      </c>
      <c r="F801" s="746"/>
      <c r="G801" s="746"/>
    </row>
    <row r="802" spans="1:7" ht="21" customHeight="1">
      <c r="A802" s="744" t="s">
        <v>89</v>
      </c>
      <c r="B802" s="744"/>
      <c r="C802" s="744"/>
      <c r="D802" s="744"/>
      <c r="E802" s="744"/>
      <c r="F802" s="744"/>
      <c r="G802" s="744"/>
    </row>
    <row r="803" spans="1:4" ht="21" customHeight="1" thickBot="1">
      <c r="A803" s="174" t="s">
        <v>121</v>
      </c>
      <c r="B803" s="174"/>
      <c r="C803" s="174"/>
      <c r="D803" s="223"/>
    </row>
    <row r="804" spans="1:7" ht="21" customHeight="1" thickBot="1">
      <c r="A804" s="769" t="s">
        <v>52</v>
      </c>
      <c r="B804" s="781"/>
      <c r="C804" s="781"/>
      <c r="D804" s="782"/>
      <c r="E804" s="588" t="s">
        <v>47</v>
      </c>
      <c r="F804" s="225" t="s">
        <v>9</v>
      </c>
      <c r="G804" s="226" t="s">
        <v>10</v>
      </c>
    </row>
    <row r="805" spans="1:7" ht="21" customHeight="1">
      <c r="A805" s="185" t="s">
        <v>6</v>
      </c>
      <c r="B805" s="186"/>
      <c r="C805" s="186"/>
      <c r="D805" s="186"/>
      <c r="E805" s="589" t="s">
        <v>454</v>
      </c>
      <c r="F805" s="227">
        <v>1485</v>
      </c>
      <c r="G805" s="228"/>
    </row>
    <row r="806" spans="1:7" ht="21" customHeight="1">
      <c r="A806" s="185"/>
      <c r="B806" s="186"/>
      <c r="C806" s="186" t="s">
        <v>11</v>
      </c>
      <c r="D806" s="186"/>
      <c r="E806" s="590" t="s">
        <v>393</v>
      </c>
      <c r="F806" s="230" t="s">
        <v>405</v>
      </c>
      <c r="G806" s="231">
        <f>SUM(F805:F805)</f>
        <v>1485</v>
      </c>
    </row>
    <row r="807" spans="1:7" ht="21" customHeight="1">
      <c r="A807" s="232"/>
      <c r="B807" s="233"/>
      <c r="C807" s="233"/>
      <c r="D807" s="233"/>
      <c r="E807" s="590"/>
      <c r="F807" s="234"/>
      <c r="G807" s="231"/>
    </row>
    <row r="808" spans="1:7" ht="21" customHeight="1">
      <c r="A808" s="232"/>
      <c r="B808" s="233"/>
      <c r="C808" s="233"/>
      <c r="D808" s="233"/>
      <c r="E808" s="590"/>
      <c r="F808" s="234"/>
      <c r="G808" s="231"/>
    </row>
    <row r="809" spans="1:7" ht="21" customHeight="1">
      <c r="A809" s="232"/>
      <c r="B809" s="233"/>
      <c r="C809" s="233"/>
      <c r="D809" s="233"/>
      <c r="E809" s="590"/>
      <c r="F809" s="234"/>
      <c r="G809" s="231"/>
    </row>
    <row r="810" spans="1:7" ht="21" customHeight="1">
      <c r="A810" s="232"/>
      <c r="B810" s="233"/>
      <c r="C810" s="233"/>
      <c r="D810" s="233"/>
      <c r="E810" s="590"/>
      <c r="F810" s="234"/>
      <c r="G810" s="231"/>
    </row>
    <row r="811" spans="1:7" ht="21" customHeight="1">
      <c r="A811" s="232"/>
      <c r="B811" s="233"/>
      <c r="C811" s="233"/>
      <c r="D811" s="233"/>
      <c r="E811" s="590"/>
      <c r="F811" s="234"/>
      <c r="G811" s="231"/>
    </row>
    <row r="812" spans="1:7" ht="21.75" customHeight="1">
      <c r="A812" s="232"/>
      <c r="B812" s="233"/>
      <c r="C812" s="233"/>
      <c r="D812" s="233"/>
      <c r="E812" s="590"/>
      <c r="F812" s="234"/>
      <c r="G812" s="231"/>
    </row>
    <row r="813" spans="1:7" ht="21.75" customHeight="1">
      <c r="A813" s="232"/>
      <c r="B813" s="233"/>
      <c r="C813" s="233"/>
      <c r="D813" s="233"/>
      <c r="E813" s="596"/>
      <c r="F813" s="258"/>
      <c r="G813" s="259"/>
    </row>
    <row r="814" spans="1:7" ht="21.75" customHeight="1" thickBot="1">
      <c r="A814" s="235"/>
      <c r="B814" s="236"/>
      <c r="C814" s="236"/>
      <c r="D814" s="237"/>
      <c r="E814" s="591"/>
      <c r="F814" s="238">
        <f>SUM(F805:F806)</f>
        <v>1485</v>
      </c>
      <c r="G814" s="239">
        <f>SUM(G806:G806)</f>
        <v>1485</v>
      </c>
    </row>
    <row r="815" spans="1:7" ht="21.75" customHeight="1" thickTop="1">
      <c r="A815" s="217" t="s">
        <v>90</v>
      </c>
      <c r="B815" s="240" t="s">
        <v>449</v>
      </c>
      <c r="C815" s="241"/>
      <c r="D815" s="242"/>
      <c r="F815" s="241"/>
      <c r="G815" s="243"/>
    </row>
    <row r="816" spans="1:7" ht="21.75" customHeight="1">
      <c r="A816" s="217"/>
      <c r="B816" s="545"/>
      <c r="C816" s="240"/>
      <c r="D816" s="241"/>
      <c r="E816" s="594"/>
      <c r="F816" s="241"/>
      <c r="G816" s="243"/>
    </row>
    <row r="817" spans="1:7" ht="21.75" customHeight="1">
      <c r="A817" s="244"/>
      <c r="B817" s="546"/>
      <c r="C817" s="240"/>
      <c r="D817" s="241"/>
      <c r="E817" s="594"/>
      <c r="F817" s="241"/>
      <c r="G817" s="243"/>
    </row>
    <row r="818" spans="1:7" ht="21.75" customHeight="1">
      <c r="A818" s="245"/>
      <c r="B818" s="254"/>
      <c r="C818" s="240"/>
      <c r="D818" s="249"/>
      <c r="E818" s="533"/>
      <c r="F818" s="171"/>
      <c r="G818" s="243"/>
    </row>
    <row r="819" spans="1:7" ht="21.75" customHeight="1">
      <c r="A819" s="245"/>
      <c r="B819" s="254"/>
      <c r="C819" s="788"/>
      <c r="D819" s="788"/>
      <c r="E819" s="533"/>
      <c r="F819" s="171"/>
      <c r="G819" s="243"/>
    </row>
    <row r="820" spans="1:7" ht="21.75" customHeight="1">
      <c r="A820" s="245"/>
      <c r="B820" s="254"/>
      <c r="C820" s="788"/>
      <c r="D820" s="788"/>
      <c r="E820" s="533"/>
      <c r="F820" s="171"/>
      <c r="G820" s="243"/>
    </row>
    <row r="821" spans="1:7" ht="21.75" customHeight="1">
      <c r="A821" s="245"/>
      <c r="B821" s="254"/>
      <c r="C821" s="791"/>
      <c r="D821" s="791"/>
      <c r="E821" s="533"/>
      <c r="F821" s="171"/>
      <c r="G821" s="243"/>
    </row>
    <row r="822" spans="1:7" ht="21.75" customHeight="1">
      <c r="A822" s="245"/>
      <c r="B822" s="254"/>
      <c r="C822" s="788"/>
      <c r="D822" s="788"/>
      <c r="E822" s="533"/>
      <c r="F822" s="171"/>
      <c r="G822" s="243"/>
    </row>
    <row r="823" spans="1:7" ht="21.75" customHeight="1">
      <c r="A823" s="245"/>
      <c r="B823" s="254"/>
      <c r="C823" s="788"/>
      <c r="D823" s="788"/>
      <c r="E823" s="533"/>
      <c r="F823" s="171"/>
      <c r="G823" s="243"/>
    </row>
    <row r="824" spans="1:7" ht="21.75" customHeight="1">
      <c r="A824" s="245"/>
      <c r="B824" s="254"/>
      <c r="C824" s="788"/>
      <c r="D824" s="788"/>
      <c r="E824" s="533"/>
      <c r="F824" s="171"/>
      <c r="G824" s="243"/>
    </row>
    <row r="825" spans="1:7" ht="21.75" customHeight="1" thickBot="1">
      <c r="A825" s="251"/>
      <c r="B825" s="496"/>
      <c r="C825" s="648"/>
      <c r="D825" s="252"/>
      <c r="E825" s="593"/>
      <c r="F825" s="252"/>
      <c r="G825" s="253"/>
    </row>
    <row r="826" spans="1:7" ht="16.5" customHeight="1">
      <c r="A826" s="260"/>
      <c r="B826" s="260"/>
      <c r="C826" s="601"/>
      <c r="D826" s="261"/>
      <c r="E826" s="597"/>
      <c r="F826" s="261"/>
      <c r="G826" s="262"/>
    </row>
    <row r="827" spans="1:7" ht="27" customHeight="1">
      <c r="A827" s="254"/>
      <c r="B827" s="254"/>
      <c r="C827" s="159"/>
      <c r="D827" s="171"/>
      <c r="E827" s="539" t="s">
        <v>265</v>
      </c>
      <c r="F827" s="159"/>
      <c r="G827" s="171"/>
    </row>
    <row r="828" spans="1:7" ht="27" customHeight="1">
      <c r="A828" s="254"/>
      <c r="B828" s="254"/>
      <c r="C828" s="159"/>
      <c r="D828" s="171"/>
      <c r="E828" s="760" t="s">
        <v>169</v>
      </c>
      <c r="F828" s="760"/>
      <c r="G828" s="171"/>
    </row>
    <row r="829" spans="1:7" ht="25.5" customHeight="1">
      <c r="A829" s="254"/>
      <c r="B829" s="254"/>
      <c r="C829" s="159"/>
      <c r="D829" s="760" t="s">
        <v>377</v>
      </c>
      <c r="E829" s="760"/>
      <c r="F829" s="760"/>
      <c r="G829" s="760"/>
    </row>
    <row r="830" spans="1:7" ht="21" customHeight="1">
      <c r="A830" s="254"/>
      <c r="B830" s="254"/>
      <c r="C830" s="159"/>
      <c r="D830" s="171"/>
      <c r="E830" s="533"/>
      <c r="F830" s="171"/>
      <c r="G830" s="171"/>
    </row>
    <row r="831" spans="1:7" ht="19.5" customHeight="1">
      <c r="A831" s="254"/>
      <c r="B831" s="254"/>
      <c r="C831" s="159"/>
      <c r="D831" s="171"/>
      <c r="E831" s="792" t="s">
        <v>264</v>
      </c>
      <c r="F831" s="792"/>
      <c r="G831" s="171"/>
    </row>
    <row r="832" spans="1:7" ht="21" customHeight="1">
      <c r="A832" s="254"/>
      <c r="B832" s="254"/>
      <c r="C832" s="159"/>
      <c r="D832" s="256"/>
      <c r="E832" s="533"/>
      <c r="F832" s="255"/>
      <c r="G832" s="171"/>
    </row>
    <row r="833" spans="1:7" ht="24.75" customHeight="1">
      <c r="A833" s="254"/>
      <c r="B833" s="254"/>
      <c r="C833" s="159"/>
      <c r="D833" s="171"/>
      <c r="E833" s="539" t="s">
        <v>266</v>
      </c>
      <c r="F833" s="159"/>
      <c r="G833" s="171"/>
    </row>
    <row r="834" spans="1:8" ht="30" customHeight="1">
      <c r="A834" s="254"/>
      <c r="B834" s="254"/>
      <c r="C834" s="257"/>
      <c r="D834" s="171"/>
      <c r="E834" s="792" t="s">
        <v>402</v>
      </c>
      <c r="F834" s="792"/>
      <c r="G834" s="792"/>
      <c r="H834" s="792"/>
    </row>
    <row r="835" spans="1:7" ht="30" customHeight="1">
      <c r="A835" s="254"/>
      <c r="B835" s="254"/>
      <c r="C835" s="240"/>
      <c r="D835" s="795" t="s">
        <v>403</v>
      </c>
      <c r="E835" s="795"/>
      <c r="F835" s="795"/>
      <c r="G835" s="795"/>
    </row>
    <row r="836" spans="1:7" ht="30" customHeight="1">
      <c r="A836" s="254"/>
      <c r="B836" s="254"/>
      <c r="C836" s="240"/>
      <c r="D836" s="172"/>
      <c r="E836" s="598"/>
      <c r="F836" s="172"/>
      <c r="G836" s="172"/>
    </row>
    <row r="837" spans="6:7" ht="21" customHeight="1">
      <c r="F837" s="780" t="s">
        <v>453</v>
      </c>
      <c r="G837" s="780"/>
    </row>
    <row r="838" spans="5:7" ht="21" customHeight="1">
      <c r="E838" s="746" t="s">
        <v>451</v>
      </c>
      <c r="F838" s="746"/>
      <c r="G838" s="746"/>
    </row>
    <row r="839" spans="1:7" ht="21" customHeight="1">
      <c r="A839" s="744" t="s">
        <v>89</v>
      </c>
      <c r="B839" s="744"/>
      <c r="C839" s="744"/>
      <c r="D839" s="744"/>
      <c r="E839" s="744"/>
      <c r="F839" s="744"/>
      <c r="G839" s="744"/>
    </row>
    <row r="840" spans="1:4" ht="21" customHeight="1" thickBot="1">
      <c r="A840" s="174" t="s">
        <v>121</v>
      </c>
      <c r="B840" s="174"/>
      <c r="C840" s="174"/>
      <c r="D840" s="223"/>
    </row>
    <row r="841" spans="1:7" ht="21" customHeight="1" thickBot="1">
      <c r="A841" s="769" t="s">
        <v>52</v>
      </c>
      <c r="B841" s="781"/>
      <c r="C841" s="781"/>
      <c r="D841" s="782"/>
      <c r="E841" s="588" t="s">
        <v>47</v>
      </c>
      <c r="F841" s="225" t="s">
        <v>9</v>
      </c>
      <c r="G841" s="226" t="s">
        <v>10</v>
      </c>
    </row>
    <row r="842" spans="1:7" ht="21" customHeight="1">
      <c r="A842" s="185" t="s">
        <v>312</v>
      </c>
      <c r="B842" s="186"/>
      <c r="C842" s="186"/>
      <c r="D842" s="186"/>
      <c r="E842" s="589" t="s">
        <v>408</v>
      </c>
      <c r="F842" s="227">
        <v>10500</v>
      </c>
      <c r="G842" s="228"/>
    </row>
    <row r="843" spans="1:7" ht="21" customHeight="1">
      <c r="A843" s="185"/>
      <c r="B843" s="186" t="s">
        <v>313</v>
      </c>
      <c r="C843" s="186"/>
      <c r="D843" s="186"/>
      <c r="E843" s="599" t="s">
        <v>409</v>
      </c>
      <c r="F843" s="230"/>
      <c r="G843" s="231">
        <f>SUM(F842:F842)</f>
        <v>10500</v>
      </c>
    </row>
    <row r="844" spans="1:7" ht="21" customHeight="1">
      <c r="A844" s="232"/>
      <c r="B844" s="233"/>
      <c r="C844" s="233"/>
      <c r="D844" s="233"/>
      <c r="E844" s="600"/>
      <c r="F844" s="234"/>
      <c r="G844" s="231"/>
    </row>
    <row r="845" spans="1:7" ht="21" customHeight="1">
      <c r="A845" s="232"/>
      <c r="B845" s="233"/>
      <c r="C845" s="233"/>
      <c r="D845" s="233"/>
      <c r="E845" s="590"/>
      <c r="F845" s="234"/>
      <c r="G845" s="231"/>
    </row>
    <row r="846" spans="1:7" ht="21" customHeight="1">
      <c r="A846" s="232"/>
      <c r="B846" s="233"/>
      <c r="C846" s="233"/>
      <c r="D846" s="233"/>
      <c r="E846" s="590"/>
      <c r="F846" s="234"/>
      <c r="G846" s="231"/>
    </row>
    <row r="847" spans="1:7" ht="21" customHeight="1">
      <c r="A847" s="232"/>
      <c r="B847" s="233"/>
      <c r="C847" s="233"/>
      <c r="D847" s="233"/>
      <c r="E847" s="590"/>
      <c r="F847" s="234"/>
      <c r="G847" s="231"/>
    </row>
    <row r="848" spans="1:7" ht="21" customHeight="1">
      <c r="A848" s="232"/>
      <c r="B848" s="233"/>
      <c r="C848" s="233"/>
      <c r="D848" s="233"/>
      <c r="E848" s="590"/>
      <c r="F848" s="234"/>
      <c r="G848" s="231"/>
    </row>
    <row r="849" spans="1:7" ht="21" customHeight="1">
      <c r="A849" s="232"/>
      <c r="B849" s="233"/>
      <c r="C849" s="233"/>
      <c r="D849" s="233"/>
      <c r="E849" s="590"/>
      <c r="F849" s="234"/>
      <c r="G849" s="231"/>
    </row>
    <row r="850" spans="1:7" ht="21" customHeight="1">
      <c r="A850" s="232"/>
      <c r="B850" s="233"/>
      <c r="C850" s="233"/>
      <c r="D850" s="233"/>
      <c r="E850" s="596"/>
      <c r="F850" s="258"/>
      <c r="G850" s="259"/>
    </row>
    <row r="851" spans="1:7" ht="21" customHeight="1" thickBot="1">
      <c r="A851" s="235"/>
      <c r="B851" s="236"/>
      <c r="C851" s="236"/>
      <c r="D851" s="237"/>
      <c r="E851" s="591"/>
      <c r="F851" s="238">
        <f>SUM(F842:F843)</f>
        <v>10500</v>
      </c>
      <c r="G851" s="239">
        <f>SUM(G843:G843)</f>
        <v>10500</v>
      </c>
    </row>
    <row r="852" spans="1:7" ht="21" customHeight="1" thickTop="1">
      <c r="A852" s="217" t="s">
        <v>90</v>
      </c>
      <c r="B852" s="240" t="s">
        <v>410</v>
      </c>
      <c r="C852" s="241"/>
      <c r="D852" s="242"/>
      <c r="E852" s="532"/>
      <c r="F852" s="171"/>
      <c r="G852" s="550"/>
    </row>
    <row r="853" spans="1:7" ht="21" customHeight="1">
      <c r="A853" s="530">
        <v>1</v>
      </c>
      <c r="B853" s="531" t="s">
        <v>452</v>
      </c>
      <c r="C853" s="532"/>
      <c r="D853" s="533" t="s">
        <v>46</v>
      </c>
      <c r="E853" s="532">
        <v>10500</v>
      </c>
      <c r="F853" s="532" t="s">
        <v>30</v>
      </c>
      <c r="G853" s="243"/>
    </row>
    <row r="854" spans="1:7" ht="21" customHeight="1">
      <c r="A854" s="535"/>
      <c r="B854" s="547"/>
      <c r="C854" s="789"/>
      <c r="D854" s="789"/>
      <c r="E854" s="533"/>
      <c r="F854" s="532"/>
      <c r="G854" s="534"/>
    </row>
    <row r="855" spans="1:7" ht="21" customHeight="1">
      <c r="A855" s="535"/>
      <c r="B855" s="547"/>
      <c r="C855" s="794"/>
      <c r="D855" s="794"/>
      <c r="E855" s="533"/>
      <c r="F855" s="532"/>
      <c r="G855" s="534"/>
    </row>
    <row r="856" spans="1:7" ht="21" customHeight="1">
      <c r="A856" s="535"/>
      <c r="B856" s="547"/>
      <c r="C856" s="531"/>
      <c r="D856" s="536"/>
      <c r="E856" s="533"/>
      <c r="F856" s="537"/>
      <c r="G856" s="534"/>
    </row>
    <row r="857" spans="1:7" ht="21" customHeight="1">
      <c r="A857" s="535"/>
      <c r="B857" s="547"/>
      <c r="C857" s="531"/>
      <c r="D857" s="538"/>
      <c r="E857" s="533"/>
      <c r="F857" s="532"/>
      <c r="G857" s="534"/>
    </row>
    <row r="858" spans="1:7" ht="21" customHeight="1">
      <c r="A858" s="535"/>
      <c r="B858" s="547"/>
      <c r="C858" s="789"/>
      <c r="D858" s="789"/>
      <c r="E858" s="533"/>
      <c r="F858" s="532"/>
      <c r="G858" s="534"/>
    </row>
    <row r="859" spans="1:7" ht="21" customHeight="1">
      <c r="A859" s="535"/>
      <c r="B859" s="547"/>
      <c r="C859" s="789"/>
      <c r="D859" s="789"/>
      <c r="E859" s="539"/>
      <c r="F859" s="532"/>
      <c r="G859" s="534"/>
    </row>
    <row r="860" spans="1:7" ht="21" customHeight="1">
      <c r="A860" s="535"/>
      <c r="B860" s="547"/>
      <c r="C860" s="789"/>
      <c r="D860" s="789"/>
      <c r="E860" s="533"/>
      <c r="F860" s="532"/>
      <c r="G860" s="534"/>
    </row>
    <row r="861" spans="1:7" ht="21" customHeight="1">
      <c r="A861" s="535"/>
      <c r="B861" s="547"/>
      <c r="C861" s="789"/>
      <c r="D861" s="789"/>
      <c r="E861" s="539"/>
      <c r="F861" s="532"/>
      <c r="G861" s="534"/>
    </row>
    <row r="862" spans="1:7" ht="21" customHeight="1">
      <c r="A862" s="535"/>
      <c r="B862" s="547"/>
      <c r="C862" s="789"/>
      <c r="D862" s="789"/>
      <c r="E862" s="539"/>
      <c r="F862" s="532"/>
      <c r="G862" s="534"/>
    </row>
    <row r="863" spans="1:7" ht="21" customHeight="1" thickBot="1">
      <c r="A863" s="251"/>
      <c r="B863" s="496"/>
      <c r="C863" s="648"/>
      <c r="D863" s="252" t="s">
        <v>70</v>
      </c>
      <c r="E863" s="593"/>
      <c r="F863" s="252"/>
      <c r="G863" s="253"/>
    </row>
    <row r="864" spans="1:7" ht="21" customHeight="1">
      <c r="A864" s="260"/>
      <c r="B864" s="260"/>
      <c r="C864" s="601"/>
      <c r="D864" s="261"/>
      <c r="E864" s="597"/>
      <c r="F864" s="261"/>
      <c r="G864" s="262"/>
    </row>
    <row r="865" spans="1:7" ht="21" customHeight="1">
      <c r="A865" s="254"/>
      <c r="B865" s="254"/>
      <c r="C865" s="159"/>
      <c r="D865" s="171"/>
      <c r="E865" s="539" t="s">
        <v>265</v>
      </c>
      <c r="F865" s="159"/>
      <c r="G865" s="171"/>
    </row>
    <row r="866" spans="1:7" ht="21" customHeight="1">
      <c r="A866" s="254"/>
      <c r="B866" s="254"/>
      <c r="C866" s="159"/>
      <c r="D866" s="171"/>
      <c r="E866" s="760" t="s">
        <v>169</v>
      </c>
      <c r="F866" s="760"/>
      <c r="G866" s="171"/>
    </row>
    <row r="867" spans="1:7" ht="21" customHeight="1">
      <c r="A867" s="254"/>
      <c r="B867" s="254"/>
      <c r="C867" s="159"/>
      <c r="D867" s="760" t="s">
        <v>377</v>
      </c>
      <c r="E867" s="760"/>
      <c r="F867" s="760"/>
      <c r="G867" s="760"/>
    </row>
    <row r="868" spans="1:7" ht="21" customHeight="1">
      <c r="A868" s="254"/>
      <c r="B868" s="254"/>
      <c r="C868" s="159"/>
      <c r="D868" s="171"/>
      <c r="E868" s="533"/>
      <c r="F868" s="171"/>
      <c r="G868" s="171"/>
    </row>
    <row r="869" spans="1:7" ht="21" customHeight="1">
      <c r="A869" s="254"/>
      <c r="B869" s="254"/>
      <c r="C869" s="159"/>
      <c r="D869" s="171"/>
      <c r="E869" s="792" t="s">
        <v>264</v>
      </c>
      <c r="F869" s="792"/>
      <c r="G869" s="171"/>
    </row>
    <row r="870" spans="1:7" ht="21" customHeight="1">
      <c r="A870" s="254"/>
      <c r="B870" s="254"/>
      <c r="C870" s="159"/>
      <c r="D870" s="256"/>
      <c r="E870" s="533"/>
      <c r="F870" s="255"/>
      <c r="G870" s="171"/>
    </row>
    <row r="871" spans="1:7" ht="21" customHeight="1">
      <c r="A871" s="254"/>
      <c r="B871" s="254"/>
      <c r="C871" s="159"/>
      <c r="D871" s="171"/>
      <c r="E871" s="539" t="s">
        <v>266</v>
      </c>
      <c r="F871" s="159"/>
      <c r="G871" s="171"/>
    </row>
    <row r="872" spans="1:7" ht="21" customHeight="1">
      <c r="A872" s="254"/>
      <c r="B872" s="254"/>
      <c r="C872" s="257"/>
      <c r="D872" s="171"/>
      <c r="E872" s="790" t="s">
        <v>402</v>
      </c>
      <c r="F872" s="790"/>
      <c r="G872" s="171"/>
    </row>
    <row r="873" spans="1:7" ht="21" customHeight="1">
      <c r="A873" s="254"/>
      <c r="B873" s="254"/>
      <c r="C873" s="240"/>
      <c r="D873" s="793" t="s">
        <v>515</v>
      </c>
      <c r="E873" s="793"/>
      <c r="F873" s="793"/>
      <c r="G873" s="793"/>
    </row>
    <row r="876" spans="6:7" ht="21" customHeight="1">
      <c r="F876" s="780" t="s">
        <v>457</v>
      </c>
      <c r="G876" s="780"/>
    </row>
    <row r="877" spans="5:7" ht="21" customHeight="1">
      <c r="E877" s="746" t="s">
        <v>451</v>
      </c>
      <c r="F877" s="746"/>
      <c r="G877" s="746"/>
    </row>
    <row r="878" spans="1:7" ht="21" customHeight="1">
      <c r="A878" s="744" t="s">
        <v>89</v>
      </c>
      <c r="B878" s="744"/>
      <c r="C878" s="744"/>
      <c r="D878" s="744"/>
      <c r="E878" s="744"/>
      <c r="F878" s="744"/>
      <c r="G878" s="744"/>
    </row>
    <row r="879" spans="1:4" ht="21" customHeight="1" thickBot="1">
      <c r="A879" s="174" t="s">
        <v>121</v>
      </c>
      <c r="B879" s="174"/>
      <c r="C879" s="174"/>
      <c r="D879" s="223"/>
    </row>
    <row r="880" spans="1:7" ht="21" customHeight="1" thickBot="1">
      <c r="A880" s="769" t="s">
        <v>52</v>
      </c>
      <c r="B880" s="781"/>
      <c r="C880" s="781"/>
      <c r="D880" s="782"/>
      <c r="E880" s="588" t="s">
        <v>47</v>
      </c>
      <c r="F880" s="225" t="s">
        <v>9</v>
      </c>
      <c r="G880" s="226" t="s">
        <v>10</v>
      </c>
    </row>
    <row r="881" spans="1:7" ht="21" customHeight="1">
      <c r="A881" s="185" t="s">
        <v>88</v>
      </c>
      <c r="B881" s="186"/>
      <c r="C881" s="186"/>
      <c r="D881" s="186"/>
      <c r="E881" s="589" t="s">
        <v>454</v>
      </c>
      <c r="F881" s="227">
        <f>SUM(G882:G884)</f>
        <v>10500</v>
      </c>
      <c r="G881" s="228"/>
    </row>
    <row r="882" spans="1:7" ht="21" customHeight="1">
      <c r="A882" s="185"/>
      <c r="B882" s="186" t="s">
        <v>411</v>
      </c>
      <c r="C882" s="186"/>
      <c r="D882" s="186"/>
      <c r="E882" s="590" t="s">
        <v>408</v>
      </c>
      <c r="F882" s="230"/>
      <c r="G882" s="231">
        <v>10000</v>
      </c>
    </row>
    <row r="883" spans="1:7" ht="21" customHeight="1">
      <c r="A883" s="232"/>
      <c r="B883" s="233" t="s">
        <v>455</v>
      </c>
      <c r="C883" s="233"/>
      <c r="D883" s="233"/>
      <c r="E883" s="600"/>
      <c r="F883" s="234"/>
      <c r="G883" s="231"/>
    </row>
    <row r="884" spans="1:7" ht="21" customHeight="1">
      <c r="A884" s="232"/>
      <c r="B884" s="186" t="s">
        <v>456</v>
      </c>
      <c r="C884" s="186"/>
      <c r="D884" s="186"/>
      <c r="E884" s="590"/>
      <c r="F884" s="234"/>
      <c r="G884" s="231">
        <v>500</v>
      </c>
    </row>
    <row r="885" spans="1:7" ht="21" customHeight="1">
      <c r="A885" s="232"/>
      <c r="B885" s="233"/>
      <c r="C885" s="233"/>
      <c r="D885" s="233"/>
      <c r="E885" s="590"/>
      <c r="F885" s="234"/>
      <c r="G885" s="231"/>
    </row>
    <row r="886" spans="1:7" ht="21" customHeight="1">
      <c r="A886" s="232"/>
      <c r="B886" s="233"/>
      <c r="C886" s="233"/>
      <c r="D886" s="233"/>
      <c r="E886" s="590"/>
      <c r="F886" s="234"/>
      <c r="G886" s="231"/>
    </row>
    <row r="887" spans="1:7" ht="21" customHeight="1">
      <c r="A887" s="232"/>
      <c r="B887" s="233"/>
      <c r="C887" s="233"/>
      <c r="D887" s="233"/>
      <c r="E887" s="590"/>
      <c r="F887" s="234"/>
      <c r="G887" s="231"/>
    </row>
    <row r="888" spans="1:7" ht="21" customHeight="1">
      <c r="A888" s="232"/>
      <c r="B888" s="233"/>
      <c r="C888" s="233"/>
      <c r="D888" s="233"/>
      <c r="E888" s="590"/>
      <c r="F888" s="234"/>
      <c r="G888" s="231"/>
    </row>
    <row r="889" spans="1:7" ht="21" customHeight="1">
      <c r="A889" s="232"/>
      <c r="B889" s="233"/>
      <c r="C889" s="233"/>
      <c r="D889" s="233"/>
      <c r="E889" s="596"/>
      <c r="F889" s="258"/>
      <c r="G889" s="259"/>
    </row>
    <row r="890" spans="1:7" ht="21" customHeight="1" thickBot="1">
      <c r="A890" s="235"/>
      <c r="B890" s="236"/>
      <c r="C890" s="236"/>
      <c r="D890" s="237"/>
      <c r="E890" s="591"/>
      <c r="F890" s="238">
        <f>SUM(F881:F882)</f>
        <v>10500</v>
      </c>
      <c r="G890" s="239">
        <f>SUM(G882:G889)</f>
        <v>10500</v>
      </c>
    </row>
    <row r="891" spans="1:7" ht="21" customHeight="1" thickTop="1">
      <c r="A891" s="217" t="s">
        <v>90</v>
      </c>
      <c r="B891" s="545"/>
      <c r="C891" s="240"/>
      <c r="D891" s="241"/>
      <c r="E891" s="594"/>
      <c r="F891" s="241"/>
      <c r="G891" s="243"/>
    </row>
    <row r="892" spans="1:7" ht="21" customHeight="1">
      <c r="A892" s="530">
        <v>1</v>
      </c>
      <c r="B892" s="240" t="s">
        <v>410</v>
      </c>
      <c r="C892" s="241"/>
      <c r="D892" s="242"/>
      <c r="E892" s="532"/>
      <c r="F892" s="171"/>
      <c r="G892" s="534"/>
    </row>
    <row r="893" spans="1:7" ht="21" customHeight="1">
      <c r="A893" s="535"/>
      <c r="B893" s="796" t="s">
        <v>487</v>
      </c>
      <c r="C893" s="796"/>
      <c r="D893" s="796"/>
      <c r="E893" s="796"/>
      <c r="F893" s="796"/>
      <c r="G893" s="797"/>
    </row>
    <row r="894" spans="1:7" ht="21" customHeight="1">
      <c r="A894" s="535"/>
      <c r="B894" s="547"/>
      <c r="C894" s="794"/>
      <c r="D894" s="794"/>
      <c r="E894" s="533"/>
      <c r="F894" s="532"/>
      <c r="G894" s="534"/>
    </row>
    <row r="895" spans="1:7" ht="21" customHeight="1">
      <c r="A895" s="535"/>
      <c r="B895" s="547"/>
      <c r="C895" s="531"/>
      <c r="D895" s="536"/>
      <c r="E895" s="533"/>
      <c r="F895" s="537"/>
      <c r="G895" s="534"/>
    </row>
    <row r="896" spans="1:7" ht="21" customHeight="1">
      <c r="A896" s="535"/>
      <c r="B896" s="547"/>
      <c r="C896" s="531"/>
      <c r="D896" s="538"/>
      <c r="E896" s="533"/>
      <c r="F896" s="532"/>
      <c r="G896" s="534"/>
    </row>
    <row r="897" spans="1:7" ht="21" customHeight="1">
      <c r="A897" s="535"/>
      <c r="B897" s="547"/>
      <c r="C897" s="789"/>
      <c r="D897" s="789"/>
      <c r="E897" s="533"/>
      <c r="F897" s="532"/>
      <c r="G897" s="534"/>
    </row>
    <row r="898" spans="1:7" ht="21" customHeight="1">
      <c r="A898" s="535"/>
      <c r="B898" s="547"/>
      <c r="C898" s="789"/>
      <c r="D898" s="789"/>
      <c r="E898" s="539"/>
      <c r="F898" s="532"/>
      <c r="G898" s="534"/>
    </row>
    <row r="899" spans="1:7" ht="21" customHeight="1">
      <c r="A899" s="535"/>
      <c r="B899" s="547"/>
      <c r="C899" s="789"/>
      <c r="D899" s="789"/>
      <c r="E899" s="533"/>
      <c r="F899" s="532"/>
      <c r="G899" s="534"/>
    </row>
    <row r="900" spans="1:7" ht="21" customHeight="1">
      <c r="A900" s="535"/>
      <c r="B900" s="547"/>
      <c r="C900" s="789"/>
      <c r="D900" s="789"/>
      <c r="E900" s="539"/>
      <c r="F900" s="532"/>
      <c r="G900" s="534"/>
    </row>
    <row r="901" spans="1:7" ht="21" customHeight="1">
      <c r="A901" s="535"/>
      <c r="B901" s="547"/>
      <c r="C901" s="789"/>
      <c r="D901" s="789"/>
      <c r="E901" s="539"/>
      <c r="F901" s="532"/>
      <c r="G901" s="534"/>
    </row>
    <row r="902" spans="1:7" ht="21" customHeight="1" thickBot="1">
      <c r="A902" s="251"/>
      <c r="B902" s="496"/>
      <c r="C902" s="648"/>
      <c r="D902" s="252"/>
      <c r="E902" s="593"/>
      <c r="F902" s="252"/>
      <c r="G902" s="253"/>
    </row>
    <row r="903" spans="1:7" ht="21" customHeight="1">
      <c r="A903" s="260"/>
      <c r="B903" s="260"/>
      <c r="C903" s="601"/>
      <c r="D903" s="261"/>
      <c r="E903" s="597"/>
      <c r="F903" s="261"/>
      <c r="G903" s="262"/>
    </row>
    <row r="904" spans="1:7" ht="21" customHeight="1">
      <c r="A904" s="254"/>
      <c r="B904" s="254"/>
      <c r="C904" s="159"/>
      <c r="D904" s="171"/>
      <c r="E904" s="539" t="s">
        <v>265</v>
      </c>
      <c r="F904" s="159"/>
      <c r="G904" s="171"/>
    </row>
    <row r="905" spans="1:7" ht="21" customHeight="1">
      <c r="A905" s="254"/>
      <c r="B905" s="254"/>
      <c r="C905" s="159"/>
      <c r="D905" s="171"/>
      <c r="E905" s="760" t="s">
        <v>169</v>
      </c>
      <c r="F905" s="760"/>
      <c r="G905" s="171"/>
    </row>
    <row r="906" spans="1:7" ht="21" customHeight="1">
      <c r="A906" s="254"/>
      <c r="B906" s="254"/>
      <c r="C906" s="159"/>
      <c r="D906" s="760" t="s">
        <v>377</v>
      </c>
      <c r="E906" s="760"/>
      <c r="F906" s="760"/>
      <c r="G906" s="760"/>
    </row>
    <row r="907" spans="1:7" ht="21" customHeight="1">
      <c r="A907" s="254"/>
      <c r="B907" s="254"/>
      <c r="C907" s="159"/>
      <c r="D907" s="171"/>
      <c r="E907" s="533"/>
      <c r="F907" s="171"/>
      <c r="G907" s="171"/>
    </row>
    <row r="908" spans="1:7" ht="21" customHeight="1">
      <c r="A908" s="254"/>
      <c r="B908" s="254"/>
      <c r="C908" s="159"/>
      <c r="D908" s="171"/>
      <c r="E908" s="792" t="s">
        <v>264</v>
      </c>
      <c r="F908" s="792"/>
      <c r="G908" s="171"/>
    </row>
    <row r="909" spans="1:7" ht="21" customHeight="1">
      <c r="A909" s="254"/>
      <c r="B909" s="254"/>
      <c r="C909" s="159"/>
      <c r="D909" s="256"/>
      <c r="E909" s="533"/>
      <c r="F909" s="255"/>
      <c r="G909" s="171"/>
    </row>
    <row r="910" spans="1:7" ht="21" customHeight="1">
      <c r="A910" s="254"/>
      <c r="B910" s="254"/>
      <c r="C910" s="159"/>
      <c r="D910" s="171"/>
      <c r="E910" s="539" t="s">
        <v>266</v>
      </c>
      <c r="F910" s="159"/>
      <c r="G910" s="171"/>
    </row>
    <row r="911" spans="1:7" ht="21" customHeight="1">
      <c r="A911" s="254"/>
      <c r="B911" s="254"/>
      <c r="C911" s="257"/>
      <c r="D911" s="171"/>
      <c r="E911" s="790" t="s">
        <v>402</v>
      </c>
      <c r="F911" s="790"/>
      <c r="G911" s="171"/>
    </row>
    <row r="912" spans="1:7" ht="21" customHeight="1">
      <c r="A912" s="254"/>
      <c r="B912" s="254"/>
      <c r="C912" s="240"/>
      <c r="D912" s="793" t="s">
        <v>515</v>
      </c>
      <c r="E912" s="793"/>
      <c r="F912" s="793"/>
      <c r="G912" s="793"/>
    </row>
    <row r="915" spans="6:7" ht="21" customHeight="1">
      <c r="F915" s="780" t="s">
        <v>460</v>
      </c>
      <c r="G915" s="780"/>
    </row>
    <row r="916" spans="5:7" ht="21" customHeight="1">
      <c r="E916" s="746" t="s">
        <v>451</v>
      </c>
      <c r="F916" s="746"/>
      <c r="G916" s="746"/>
    </row>
    <row r="917" spans="1:7" ht="21" customHeight="1">
      <c r="A917" s="744" t="s">
        <v>89</v>
      </c>
      <c r="B917" s="744"/>
      <c r="C917" s="744"/>
      <c r="D917" s="744"/>
      <c r="E917" s="744"/>
      <c r="F917" s="744"/>
      <c r="G917" s="744"/>
    </row>
    <row r="918" spans="1:4" ht="21" customHeight="1" thickBot="1">
      <c r="A918" s="174" t="s">
        <v>121</v>
      </c>
      <c r="B918" s="174"/>
      <c r="C918" s="174"/>
      <c r="D918" s="223"/>
    </row>
    <row r="919" spans="1:7" ht="21" customHeight="1" thickBot="1">
      <c r="A919" s="769" t="s">
        <v>52</v>
      </c>
      <c r="B919" s="781"/>
      <c r="C919" s="781"/>
      <c r="D919" s="782"/>
      <c r="E919" s="588" t="s">
        <v>47</v>
      </c>
      <c r="F919" s="225" t="s">
        <v>9</v>
      </c>
      <c r="G919" s="226" t="s">
        <v>10</v>
      </c>
    </row>
    <row r="920" spans="1:7" ht="21" customHeight="1">
      <c r="A920" s="185" t="s">
        <v>249</v>
      </c>
      <c r="B920" s="186"/>
      <c r="C920" s="186"/>
      <c r="D920" s="186"/>
      <c r="E920" s="589" t="s">
        <v>250</v>
      </c>
      <c r="F920" s="227">
        <f>SUM(G921:G923)</f>
        <v>10500</v>
      </c>
      <c r="G920" s="228"/>
    </row>
    <row r="921" spans="1:7" ht="21" customHeight="1">
      <c r="A921" s="185"/>
      <c r="B921" s="186"/>
      <c r="C921" s="186" t="s">
        <v>88</v>
      </c>
      <c r="D921" s="186"/>
      <c r="E921" s="590" t="s">
        <v>454</v>
      </c>
      <c r="F921" s="230"/>
      <c r="G921" s="231">
        <v>10500</v>
      </c>
    </row>
    <row r="922" spans="1:7" ht="21" customHeight="1">
      <c r="A922" s="232"/>
      <c r="B922" s="233"/>
      <c r="C922" s="233"/>
      <c r="D922" s="233"/>
      <c r="E922" s="600"/>
      <c r="F922" s="234"/>
      <c r="G922" s="231"/>
    </row>
    <row r="923" spans="1:7" ht="21" customHeight="1">
      <c r="A923" s="232"/>
      <c r="B923" s="233"/>
      <c r="C923" s="186"/>
      <c r="D923" s="186"/>
      <c r="E923" s="590"/>
      <c r="F923" s="234"/>
      <c r="G923" s="231"/>
    </row>
    <row r="924" spans="1:7" ht="21" customHeight="1">
      <c r="A924" s="232"/>
      <c r="B924" s="233"/>
      <c r="C924" s="233"/>
      <c r="D924" s="233"/>
      <c r="E924" s="590"/>
      <c r="F924" s="234"/>
      <c r="G924" s="231"/>
    </row>
    <row r="925" spans="1:7" ht="21" customHeight="1">
      <c r="A925" s="232"/>
      <c r="B925" s="233"/>
      <c r="C925" s="233"/>
      <c r="D925" s="233"/>
      <c r="E925" s="590"/>
      <c r="F925" s="234"/>
      <c r="G925" s="231"/>
    </row>
    <row r="926" spans="1:7" ht="21" customHeight="1">
      <c r="A926" s="232"/>
      <c r="B926" s="233"/>
      <c r="C926" s="233"/>
      <c r="D926" s="233"/>
      <c r="E926" s="590"/>
      <c r="F926" s="234"/>
      <c r="G926" s="231"/>
    </row>
    <row r="927" spans="1:7" ht="21" customHeight="1">
      <c r="A927" s="232"/>
      <c r="B927" s="233"/>
      <c r="C927" s="233"/>
      <c r="D927" s="233"/>
      <c r="E927" s="590"/>
      <c r="F927" s="234"/>
      <c r="G927" s="231"/>
    </row>
    <row r="928" spans="1:7" ht="21" customHeight="1">
      <c r="A928" s="232"/>
      <c r="B928" s="233"/>
      <c r="C928" s="233"/>
      <c r="D928" s="233"/>
      <c r="E928" s="596"/>
      <c r="F928" s="258"/>
      <c r="G928" s="259"/>
    </row>
    <row r="929" spans="1:7" ht="21" customHeight="1" thickBot="1">
      <c r="A929" s="235"/>
      <c r="B929" s="236"/>
      <c r="C929" s="236"/>
      <c r="D929" s="237"/>
      <c r="E929" s="591"/>
      <c r="F929" s="238">
        <f>SUM(F920:F921)</f>
        <v>10500</v>
      </c>
      <c r="G929" s="239">
        <f>SUM(G921:G921)</f>
        <v>10500</v>
      </c>
    </row>
    <row r="930" spans="1:7" ht="21" customHeight="1" thickTop="1">
      <c r="A930" s="217" t="s">
        <v>90</v>
      </c>
      <c r="B930" s="240" t="s">
        <v>458</v>
      </c>
      <c r="C930" s="241"/>
      <c r="D930" s="242"/>
      <c r="F930" s="241"/>
      <c r="G930" s="243"/>
    </row>
    <row r="931" spans="1:7" ht="21" customHeight="1">
      <c r="A931" s="530"/>
      <c r="B931" s="539"/>
      <c r="C931" s="531"/>
      <c r="D931" s="532"/>
      <c r="E931" s="533"/>
      <c r="F931" s="532"/>
      <c r="G931" s="534"/>
    </row>
    <row r="932" spans="1:7" ht="21" customHeight="1">
      <c r="A932" s="535"/>
      <c r="B932" s="547"/>
      <c r="C932" s="789"/>
      <c r="D932" s="789"/>
      <c r="E932" s="533"/>
      <c r="F932" s="532"/>
      <c r="G932" s="534"/>
    </row>
    <row r="933" spans="1:7" ht="21" customHeight="1">
      <c r="A933" s="535"/>
      <c r="B933" s="547"/>
      <c r="C933" s="794"/>
      <c r="D933" s="794"/>
      <c r="E933" s="533"/>
      <c r="F933" s="532"/>
      <c r="G933" s="534"/>
    </row>
    <row r="934" spans="1:7" ht="21" customHeight="1">
      <c r="A934" s="535"/>
      <c r="B934" s="547"/>
      <c r="C934" s="531"/>
      <c r="D934" s="536"/>
      <c r="E934" s="533"/>
      <c r="F934" s="537"/>
      <c r="G934" s="534"/>
    </row>
    <row r="935" spans="1:7" ht="21" customHeight="1">
      <c r="A935" s="535"/>
      <c r="B935" s="547"/>
      <c r="C935" s="531"/>
      <c r="D935" s="538"/>
      <c r="E935" s="533"/>
      <c r="F935" s="532"/>
      <c r="G935" s="534"/>
    </row>
    <row r="936" spans="1:7" ht="21" customHeight="1">
      <c r="A936" s="535"/>
      <c r="B936" s="547"/>
      <c r="C936" s="789"/>
      <c r="D936" s="789"/>
      <c r="E936" s="533"/>
      <c r="F936" s="532"/>
      <c r="G936" s="534"/>
    </row>
    <row r="937" spans="1:7" ht="21" customHeight="1">
      <c r="A937" s="535"/>
      <c r="B937" s="547"/>
      <c r="C937" s="789"/>
      <c r="D937" s="789"/>
      <c r="E937" s="539"/>
      <c r="F937" s="532"/>
      <c r="G937" s="534"/>
    </row>
    <row r="938" spans="1:7" ht="21" customHeight="1">
      <c r="A938" s="535"/>
      <c r="B938" s="547"/>
      <c r="C938" s="789"/>
      <c r="D938" s="789"/>
      <c r="E938" s="533"/>
      <c r="F938" s="532"/>
      <c r="G938" s="534"/>
    </row>
    <row r="939" spans="1:7" ht="21" customHeight="1">
      <c r="A939" s="535"/>
      <c r="B939" s="547"/>
      <c r="C939" s="789"/>
      <c r="D939" s="789"/>
      <c r="E939" s="539"/>
      <c r="F939" s="532"/>
      <c r="G939" s="534"/>
    </row>
    <row r="940" spans="1:7" ht="21" customHeight="1">
      <c r="A940" s="535"/>
      <c r="B940" s="547"/>
      <c r="C940" s="789"/>
      <c r="D940" s="789"/>
      <c r="E940" s="539"/>
      <c r="F940" s="532"/>
      <c r="G940" s="534"/>
    </row>
    <row r="941" spans="1:7" ht="21" customHeight="1" thickBot="1">
      <c r="A941" s="251"/>
      <c r="B941" s="496"/>
      <c r="C941" s="648"/>
      <c r="D941" s="252"/>
      <c r="E941" s="593"/>
      <c r="F941" s="252"/>
      <c r="G941" s="253"/>
    </row>
    <row r="942" spans="1:7" ht="21" customHeight="1">
      <c r="A942" s="260"/>
      <c r="B942" s="260"/>
      <c r="C942" s="601"/>
      <c r="D942" s="261"/>
      <c r="E942" s="597"/>
      <c r="F942" s="261"/>
      <c r="G942" s="262"/>
    </row>
    <row r="943" spans="1:7" ht="21" customHeight="1">
      <c r="A943" s="254"/>
      <c r="B943" s="254"/>
      <c r="C943" s="159"/>
      <c r="D943" s="171"/>
      <c r="E943" s="539" t="s">
        <v>265</v>
      </c>
      <c r="F943" s="159"/>
      <c r="G943" s="171"/>
    </row>
    <row r="944" spans="1:7" ht="21" customHeight="1">
      <c r="A944" s="254"/>
      <c r="B944" s="254"/>
      <c r="C944" s="159"/>
      <c r="D944" s="171"/>
      <c r="E944" s="760" t="s">
        <v>169</v>
      </c>
      <c r="F944" s="760"/>
      <c r="G944" s="171"/>
    </row>
    <row r="945" spans="1:7" ht="21" customHeight="1">
      <c r="A945" s="254"/>
      <c r="B945" s="254"/>
      <c r="C945" s="159"/>
      <c r="D945" s="760" t="s">
        <v>377</v>
      </c>
      <c r="E945" s="760"/>
      <c r="F945" s="760"/>
      <c r="G945" s="760"/>
    </row>
    <row r="946" spans="1:7" ht="21" customHeight="1">
      <c r="A946" s="254"/>
      <c r="B946" s="254"/>
      <c r="C946" s="159"/>
      <c r="D946" s="171"/>
      <c r="E946" s="533"/>
      <c r="F946" s="171"/>
      <c r="G946" s="171"/>
    </row>
    <row r="947" spans="1:7" ht="21" customHeight="1">
      <c r="A947" s="254"/>
      <c r="B947" s="254"/>
      <c r="C947" s="159"/>
      <c r="D947" s="171"/>
      <c r="E947" s="792" t="s">
        <v>264</v>
      </c>
      <c r="F947" s="792"/>
      <c r="G947" s="171"/>
    </row>
    <row r="948" spans="1:7" ht="21" customHeight="1">
      <c r="A948" s="254"/>
      <c r="B948" s="254"/>
      <c r="C948" s="159"/>
      <c r="D948" s="256"/>
      <c r="E948" s="533"/>
      <c r="F948" s="255"/>
      <c r="G948" s="171"/>
    </row>
    <row r="949" spans="1:7" ht="21" customHeight="1">
      <c r="A949" s="254"/>
      <c r="B949" s="254"/>
      <c r="C949" s="159"/>
      <c r="D949" s="171"/>
      <c r="E949" s="539" t="s">
        <v>266</v>
      </c>
      <c r="F949" s="159"/>
      <c r="G949" s="171"/>
    </row>
    <row r="950" spans="1:7" ht="21" customHeight="1">
      <c r="A950" s="254"/>
      <c r="B950" s="254"/>
      <c r="C950" s="257"/>
      <c r="D950" s="171"/>
      <c r="E950" s="790" t="s">
        <v>402</v>
      </c>
      <c r="F950" s="790"/>
      <c r="G950" s="171"/>
    </row>
    <row r="951" spans="1:7" ht="21" customHeight="1">
      <c r="A951" s="254"/>
      <c r="B951" s="254"/>
      <c r="C951" s="240"/>
      <c r="D951" s="793" t="s">
        <v>515</v>
      </c>
      <c r="E951" s="793"/>
      <c r="F951" s="793"/>
      <c r="G951" s="793"/>
    </row>
    <row r="954" spans="6:7" ht="21" customHeight="1">
      <c r="F954" s="780" t="s">
        <v>461</v>
      </c>
      <c r="G954" s="780"/>
    </row>
    <row r="955" spans="5:7" ht="21" customHeight="1">
      <c r="E955" s="746" t="s">
        <v>451</v>
      </c>
      <c r="F955" s="746"/>
      <c r="G955" s="746"/>
    </row>
    <row r="956" spans="1:7" ht="21" customHeight="1">
      <c r="A956" s="744" t="s">
        <v>89</v>
      </c>
      <c r="B956" s="744"/>
      <c r="C956" s="744"/>
      <c r="D956" s="744"/>
      <c r="E956" s="744"/>
      <c r="F956" s="744"/>
      <c r="G956" s="744"/>
    </row>
    <row r="957" spans="1:4" ht="21" customHeight="1" thickBot="1">
      <c r="A957" s="174" t="s">
        <v>121</v>
      </c>
      <c r="B957" s="174"/>
      <c r="C957" s="174"/>
      <c r="D957" s="223"/>
    </row>
    <row r="958" spans="1:7" ht="21" customHeight="1" thickBot="1">
      <c r="A958" s="769" t="s">
        <v>52</v>
      </c>
      <c r="B958" s="781"/>
      <c r="C958" s="781"/>
      <c r="D958" s="782"/>
      <c r="E958" s="588" t="s">
        <v>47</v>
      </c>
      <c r="F958" s="225" t="s">
        <v>9</v>
      </c>
      <c r="G958" s="226" t="s">
        <v>10</v>
      </c>
    </row>
    <row r="959" spans="1:7" ht="21" customHeight="1">
      <c r="A959" s="185" t="s">
        <v>81</v>
      </c>
      <c r="B959" s="186"/>
      <c r="C959" s="186"/>
      <c r="D959" s="603"/>
      <c r="E959" s="604" t="s">
        <v>256</v>
      </c>
      <c r="F959" s="605" t="e">
        <f>หมายเหตุ3!#REF!</f>
        <v>#REF!</v>
      </c>
      <c r="G959" s="228"/>
    </row>
    <row r="960" spans="1:7" ht="21" customHeight="1">
      <c r="A960" s="185"/>
      <c r="B960" s="186"/>
      <c r="C960" s="186" t="s">
        <v>7</v>
      </c>
      <c r="D960" s="603"/>
      <c r="E960" s="604" t="s">
        <v>192</v>
      </c>
      <c r="F960" s="234"/>
      <c r="G960" s="231" t="e">
        <f>SUM(F959:F959)</f>
        <v>#REF!</v>
      </c>
    </row>
    <row r="961" spans="1:7" ht="21" customHeight="1">
      <c r="A961" s="185"/>
      <c r="B961" s="186"/>
      <c r="C961" s="186"/>
      <c r="D961" s="603"/>
      <c r="E961" s="604"/>
      <c r="F961" s="404"/>
      <c r="G961" s="606"/>
    </row>
    <row r="962" spans="1:7" ht="21" customHeight="1">
      <c r="A962" s="185"/>
      <c r="B962" s="186"/>
      <c r="C962" s="186"/>
      <c r="D962" s="603"/>
      <c r="E962" s="607"/>
      <c r="F962" s="404"/>
      <c r="G962" s="606"/>
    </row>
    <row r="963" spans="1:7" ht="21" customHeight="1">
      <c r="A963" s="185"/>
      <c r="B963" s="186"/>
      <c r="C963" s="186"/>
      <c r="D963" s="608"/>
      <c r="E963" s="609"/>
      <c r="F963" s="404"/>
      <c r="G963" s="606"/>
    </row>
    <row r="964" spans="1:7" ht="21" customHeight="1">
      <c r="A964" s="185"/>
      <c r="B964" s="186"/>
      <c r="C964" s="186"/>
      <c r="D964" s="608"/>
      <c r="E964" s="610"/>
      <c r="F964" s="404"/>
      <c r="G964" s="606"/>
    </row>
    <row r="965" spans="1:7" ht="21" customHeight="1">
      <c r="A965" s="611"/>
      <c r="B965" s="612"/>
      <c r="C965" s="612"/>
      <c r="D965" s="613"/>
      <c r="E965" s="610"/>
      <c r="F965" s="614"/>
      <c r="G965" s="606"/>
    </row>
    <row r="966" spans="1:7" ht="21" customHeight="1">
      <c r="A966" s="611"/>
      <c r="B966" s="612"/>
      <c r="C966" s="612"/>
      <c r="D966" s="613"/>
      <c r="E966" s="610"/>
      <c r="F966" s="614"/>
      <c r="G966" s="606"/>
    </row>
    <row r="967" spans="1:7" ht="21" customHeight="1">
      <c r="A967" s="611"/>
      <c r="B967" s="612"/>
      <c r="C967" s="612"/>
      <c r="D967" s="613"/>
      <c r="E967" s="610"/>
      <c r="F967" s="615"/>
      <c r="G967" s="616"/>
    </row>
    <row r="968" spans="1:7" ht="21" customHeight="1" thickBot="1">
      <c r="A968" s="235"/>
      <c r="B968" s="236"/>
      <c r="C968" s="236"/>
      <c r="D968" s="237"/>
      <c r="E968" s="591"/>
      <c r="F968" s="238" t="e">
        <f>SUM(F959:F961)</f>
        <v>#REF!</v>
      </c>
      <c r="G968" s="239" t="e">
        <f>SUM(G960:G962)</f>
        <v>#REF!</v>
      </c>
    </row>
    <row r="969" spans="1:7" ht="21" customHeight="1" thickTop="1">
      <c r="A969" s="158" t="s">
        <v>90</v>
      </c>
      <c r="B969" s="240" t="s">
        <v>459</v>
      </c>
      <c r="C969" s="241"/>
      <c r="D969" s="242"/>
      <c r="F969" s="241"/>
      <c r="G969" s="243"/>
    </row>
    <row r="970" spans="1:7" ht="21" customHeight="1">
      <c r="A970" s="245"/>
      <c r="B970" s="240" t="s">
        <v>46</v>
      </c>
      <c r="C970" s="532" t="e">
        <f>F968</f>
        <v>#REF!</v>
      </c>
      <c r="D970" s="533" t="s">
        <v>30</v>
      </c>
      <c r="F970" s="241"/>
      <c r="G970" s="243"/>
    </row>
    <row r="971" spans="1:7" ht="21" customHeight="1">
      <c r="A971" s="535"/>
      <c r="B971" s="547"/>
      <c r="C971" s="789"/>
      <c r="D971" s="789"/>
      <c r="E971" s="533"/>
      <c r="F971" s="532"/>
      <c r="G971" s="534"/>
    </row>
    <row r="972" spans="1:7" ht="21" customHeight="1">
      <c r="A972" s="535"/>
      <c r="B972" s="547"/>
      <c r="C972" s="794"/>
      <c r="D972" s="794"/>
      <c r="E972" s="533"/>
      <c r="F972" s="532"/>
      <c r="G972" s="534"/>
    </row>
    <row r="973" spans="1:7" ht="21" customHeight="1">
      <c r="A973" s="535"/>
      <c r="B973" s="547"/>
      <c r="C973" s="531"/>
      <c r="D973" s="536"/>
      <c r="E973" s="533"/>
      <c r="F973" s="537"/>
      <c r="G973" s="534"/>
    </row>
    <row r="974" spans="1:7" ht="21" customHeight="1">
      <c r="A974" s="535"/>
      <c r="B974" s="547"/>
      <c r="C974" s="531"/>
      <c r="D974" s="538"/>
      <c r="E974" s="533"/>
      <c r="F974" s="532"/>
      <c r="G974" s="534"/>
    </row>
    <row r="975" spans="1:7" ht="21" customHeight="1">
      <c r="A975" s="535"/>
      <c r="B975" s="547"/>
      <c r="C975" s="789"/>
      <c r="D975" s="789"/>
      <c r="E975" s="533"/>
      <c r="F975" s="532"/>
      <c r="G975" s="534"/>
    </row>
    <row r="976" spans="1:7" ht="21" customHeight="1">
      <c r="A976" s="535"/>
      <c r="B976" s="547"/>
      <c r="C976" s="789"/>
      <c r="D976" s="789"/>
      <c r="E976" s="539"/>
      <c r="F976" s="532"/>
      <c r="G976" s="534"/>
    </row>
    <row r="977" spans="1:7" ht="21" customHeight="1">
      <c r="A977" s="535"/>
      <c r="B977" s="547"/>
      <c r="C977" s="789"/>
      <c r="D977" s="789"/>
      <c r="E977" s="533"/>
      <c r="F977" s="532"/>
      <c r="G977" s="534"/>
    </row>
    <row r="978" spans="1:7" ht="21" customHeight="1">
      <c r="A978" s="535"/>
      <c r="B978" s="547"/>
      <c r="C978" s="789"/>
      <c r="D978" s="789"/>
      <c r="E978" s="539"/>
      <c r="F978" s="532"/>
      <c r="G978" s="534"/>
    </row>
    <row r="979" spans="1:7" ht="21" customHeight="1">
      <c r="A979" s="535"/>
      <c r="B979" s="547"/>
      <c r="C979" s="789"/>
      <c r="D979" s="789"/>
      <c r="E979" s="539"/>
      <c r="F979" s="532"/>
      <c r="G979" s="534"/>
    </row>
    <row r="980" spans="1:7" ht="21" customHeight="1" thickBot="1">
      <c r="A980" s="251"/>
      <c r="B980" s="496"/>
      <c r="C980" s="648"/>
      <c r="D980" s="252"/>
      <c r="E980" s="593"/>
      <c r="F980" s="252"/>
      <c r="G980" s="253"/>
    </row>
    <row r="981" spans="1:7" ht="21" customHeight="1">
      <c r="A981" s="260"/>
      <c r="B981" s="260"/>
      <c r="C981" s="601"/>
      <c r="D981" s="261"/>
      <c r="E981" s="597"/>
      <c r="F981" s="261"/>
      <c r="G981" s="262"/>
    </row>
    <row r="982" spans="1:7" ht="21" customHeight="1">
      <c r="A982" s="254"/>
      <c r="B982" s="254"/>
      <c r="C982" s="159"/>
      <c r="D982" s="171"/>
      <c r="E982" s="539" t="s">
        <v>265</v>
      </c>
      <c r="F982" s="159"/>
      <c r="G982" s="171"/>
    </row>
    <row r="983" spans="1:7" ht="21" customHeight="1">
      <c r="A983" s="254"/>
      <c r="B983" s="254"/>
      <c r="C983" s="159"/>
      <c r="D983" s="171"/>
      <c r="E983" s="760" t="s">
        <v>169</v>
      </c>
      <c r="F983" s="760"/>
      <c r="G983" s="171"/>
    </row>
    <row r="984" spans="1:7" ht="21" customHeight="1">
      <c r="A984" s="254"/>
      <c r="B984" s="254"/>
      <c r="C984" s="159"/>
      <c r="D984" s="760" t="s">
        <v>377</v>
      </c>
      <c r="E984" s="760"/>
      <c r="F984" s="760"/>
      <c r="G984" s="760"/>
    </row>
    <row r="985" spans="1:7" ht="21" customHeight="1">
      <c r="A985" s="254"/>
      <c r="B985" s="254"/>
      <c r="C985" s="159"/>
      <c r="D985" s="171"/>
      <c r="E985" s="533"/>
      <c r="F985" s="171"/>
      <c r="G985" s="171"/>
    </row>
    <row r="986" spans="1:7" ht="21" customHeight="1">
      <c r="A986" s="254"/>
      <c r="B986" s="254"/>
      <c r="C986" s="159"/>
      <c r="D986" s="171"/>
      <c r="E986" s="792" t="s">
        <v>264</v>
      </c>
      <c r="F986" s="792"/>
      <c r="G986" s="171"/>
    </row>
    <row r="987" spans="1:7" ht="21" customHeight="1">
      <c r="A987" s="254"/>
      <c r="B987" s="254"/>
      <c r="C987" s="159"/>
      <c r="D987" s="256"/>
      <c r="E987" s="533"/>
      <c r="F987" s="255"/>
      <c r="G987" s="171"/>
    </row>
    <row r="988" spans="1:7" ht="21" customHeight="1">
      <c r="A988" s="254"/>
      <c r="B988" s="254"/>
      <c r="C988" s="159"/>
      <c r="D988" s="171"/>
      <c r="E988" s="539" t="s">
        <v>266</v>
      </c>
      <c r="F988" s="159"/>
      <c r="G988" s="171"/>
    </row>
    <row r="989" spans="1:7" ht="21" customHeight="1">
      <c r="A989" s="254"/>
      <c r="B989" s="254"/>
      <c r="C989" s="257"/>
      <c r="D989" s="171"/>
      <c r="E989" s="790" t="s">
        <v>402</v>
      </c>
      <c r="F989" s="790"/>
      <c r="G989" s="171"/>
    </row>
    <row r="990" spans="1:7" ht="21" customHeight="1">
      <c r="A990" s="254"/>
      <c r="B990" s="254"/>
      <c r="C990" s="240"/>
      <c r="D990" s="793" t="s">
        <v>515</v>
      </c>
      <c r="E990" s="793"/>
      <c r="F990" s="793"/>
      <c r="G990" s="793"/>
    </row>
    <row r="993" spans="6:7" ht="21" customHeight="1">
      <c r="F993" s="780" t="s">
        <v>466</v>
      </c>
      <c r="G993" s="780"/>
    </row>
    <row r="994" spans="5:7" ht="21" customHeight="1">
      <c r="E994" s="746" t="s">
        <v>451</v>
      </c>
      <c r="F994" s="746"/>
      <c r="G994" s="746"/>
    </row>
    <row r="995" spans="1:7" ht="21" customHeight="1">
      <c r="A995" s="744" t="s">
        <v>89</v>
      </c>
      <c r="B995" s="744"/>
      <c r="C995" s="744"/>
      <c r="D995" s="744"/>
      <c r="E995" s="744"/>
      <c r="F995" s="744"/>
      <c r="G995" s="744"/>
    </row>
    <row r="996" spans="1:4" ht="21" customHeight="1" thickBot="1">
      <c r="A996" s="174" t="s">
        <v>121</v>
      </c>
      <c r="B996" s="174"/>
      <c r="C996" s="174"/>
      <c r="D996" s="223"/>
    </row>
    <row r="997" spans="1:7" ht="21" customHeight="1" thickBot="1">
      <c r="A997" s="769" t="s">
        <v>52</v>
      </c>
      <c r="B997" s="781"/>
      <c r="C997" s="781"/>
      <c r="D997" s="782"/>
      <c r="E997" s="588" t="s">
        <v>47</v>
      </c>
      <c r="F997" s="225" t="s">
        <v>9</v>
      </c>
      <c r="G997" s="226" t="s">
        <v>10</v>
      </c>
    </row>
    <row r="998" spans="1:8" s="544" customFormat="1" ht="21" customHeight="1">
      <c r="A998" s="185" t="s">
        <v>2</v>
      </c>
      <c r="B998" s="186"/>
      <c r="C998" s="186"/>
      <c r="D998" s="603"/>
      <c r="E998" s="604" t="s">
        <v>261</v>
      </c>
      <c r="F998" s="605">
        <v>528103.24</v>
      </c>
      <c r="G998" s="228"/>
      <c r="H998" s="543"/>
    </row>
    <row r="999" spans="1:8" s="544" customFormat="1" ht="21" customHeight="1">
      <c r="A999" s="185" t="s">
        <v>80</v>
      </c>
      <c r="B999" s="186"/>
      <c r="C999" s="186"/>
      <c r="D999" s="603"/>
      <c r="E999" s="604" t="s">
        <v>201</v>
      </c>
      <c r="F999" s="234">
        <f>E1018</f>
        <v>220700</v>
      </c>
      <c r="G999" s="231">
        <v>0</v>
      </c>
      <c r="H999" s="543"/>
    </row>
    <row r="1000" spans="1:9" s="544" customFormat="1" ht="21" customHeight="1">
      <c r="A1000" s="185" t="s">
        <v>5</v>
      </c>
      <c r="B1000" s="186"/>
      <c r="C1000" s="186"/>
      <c r="D1000" s="603"/>
      <c r="E1000" s="609">
        <v>542000</v>
      </c>
      <c r="F1000" s="404">
        <f>F1018</f>
        <v>5024790</v>
      </c>
      <c r="G1000" s="606"/>
      <c r="H1000" s="543"/>
      <c r="I1000" s="585">
        <f>SUM(F1000:F1001)</f>
        <v>5930914</v>
      </c>
    </row>
    <row r="1001" spans="1:8" s="544" customFormat="1" ht="21" customHeight="1">
      <c r="A1001" s="185" t="s">
        <v>0</v>
      </c>
      <c r="B1001" s="186"/>
      <c r="C1001" s="186"/>
      <c r="D1001" s="603"/>
      <c r="E1001" s="609">
        <v>5310100</v>
      </c>
      <c r="F1001" s="404">
        <f>C1018</f>
        <v>906124</v>
      </c>
      <c r="G1001" s="606"/>
      <c r="H1001" s="543"/>
    </row>
    <row r="1002" spans="1:8" s="544" customFormat="1" ht="21" customHeight="1">
      <c r="A1002" s="185"/>
      <c r="B1002" s="186"/>
      <c r="C1002" s="186" t="s">
        <v>81</v>
      </c>
      <c r="D1002" s="603"/>
      <c r="E1002" s="607">
        <v>211000</v>
      </c>
      <c r="F1002" s="404"/>
      <c r="G1002" s="606">
        <f>+F998+F999+F1000+F1001</f>
        <v>6679717.24</v>
      </c>
      <c r="H1002" s="543"/>
    </row>
    <row r="1003" spans="1:8" s="544" customFormat="1" ht="21" customHeight="1">
      <c r="A1003" s="185"/>
      <c r="B1003" s="186"/>
      <c r="C1003" s="186"/>
      <c r="D1003" s="608"/>
      <c r="E1003" s="610"/>
      <c r="F1003" s="404"/>
      <c r="G1003" s="606"/>
      <c r="H1003" s="543"/>
    </row>
    <row r="1004" spans="1:8" s="544" customFormat="1" ht="21" customHeight="1">
      <c r="A1004" s="185"/>
      <c r="B1004" s="186"/>
      <c r="C1004" s="186"/>
      <c r="D1004" s="608"/>
      <c r="E1004" s="610"/>
      <c r="F1004" s="404"/>
      <c r="G1004" s="606"/>
      <c r="H1004" s="543"/>
    </row>
    <row r="1005" spans="1:8" s="544" customFormat="1" ht="21" customHeight="1">
      <c r="A1005" s="185"/>
      <c r="B1005" s="186"/>
      <c r="C1005" s="186"/>
      <c r="D1005" s="608"/>
      <c r="E1005" s="610"/>
      <c r="F1005" s="404"/>
      <c r="G1005" s="606"/>
      <c r="H1005" s="543"/>
    </row>
    <row r="1006" spans="1:8" s="544" customFormat="1" ht="21" customHeight="1" hidden="1">
      <c r="A1006" s="185"/>
      <c r="B1006" s="186"/>
      <c r="C1006" s="186"/>
      <c r="D1006" s="608"/>
      <c r="E1006" s="609"/>
      <c r="F1006" s="404"/>
      <c r="G1006" s="606"/>
      <c r="H1006" s="543"/>
    </row>
    <row r="1007" spans="1:8" s="544" customFormat="1" ht="21" customHeight="1">
      <c r="A1007" s="185"/>
      <c r="B1007" s="186"/>
      <c r="C1007" s="186"/>
      <c r="D1007" s="608"/>
      <c r="E1007" s="609"/>
      <c r="F1007" s="404"/>
      <c r="G1007" s="606"/>
      <c r="H1007" s="543"/>
    </row>
    <row r="1008" spans="1:8" s="544" customFormat="1" ht="21" customHeight="1">
      <c r="A1008" s="185"/>
      <c r="B1008" s="186"/>
      <c r="C1008" s="186"/>
      <c r="D1008" s="608"/>
      <c r="E1008" s="610"/>
      <c r="F1008" s="404"/>
      <c r="G1008" s="606"/>
      <c r="H1008" s="543"/>
    </row>
    <row r="1009" spans="1:8" s="544" customFormat="1" ht="21" customHeight="1">
      <c r="A1009" s="611"/>
      <c r="B1009" s="612"/>
      <c r="C1009" s="612"/>
      <c r="D1009" s="613"/>
      <c r="E1009" s="610"/>
      <c r="F1009" s="614"/>
      <c r="G1009" s="606"/>
      <c r="H1009" s="543"/>
    </row>
    <row r="1010" spans="1:8" s="544" customFormat="1" ht="21" customHeight="1">
      <c r="A1010" s="611"/>
      <c r="B1010" s="612"/>
      <c r="C1010" s="612"/>
      <c r="D1010" s="613"/>
      <c r="E1010" s="610"/>
      <c r="F1010" s="614"/>
      <c r="G1010" s="606"/>
      <c r="H1010" s="543"/>
    </row>
    <row r="1011" spans="1:8" s="544" customFormat="1" ht="21" customHeight="1">
      <c r="A1011" s="611"/>
      <c r="B1011" s="612"/>
      <c r="C1011" s="612"/>
      <c r="D1011" s="613"/>
      <c r="E1011" s="610"/>
      <c r="F1011" s="615"/>
      <c r="G1011" s="616"/>
      <c r="H1011" s="543"/>
    </row>
    <row r="1012" spans="1:8" s="544" customFormat="1" ht="21" customHeight="1" thickBot="1">
      <c r="A1012" s="235"/>
      <c r="B1012" s="236"/>
      <c r="C1012" s="236"/>
      <c r="D1012" s="237"/>
      <c r="E1012" s="591"/>
      <c r="F1012" s="238">
        <f>SUM(F998:F1001)</f>
        <v>6679717.24</v>
      </c>
      <c r="G1012" s="239">
        <f>SUM(G999:G1004)</f>
        <v>6679717.24</v>
      </c>
      <c r="H1012" s="543"/>
    </row>
    <row r="1013" spans="1:8" s="544" customFormat="1" ht="21" customHeight="1" thickTop="1">
      <c r="A1013" s="502" t="s">
        <v>90</v>
      </c>
      <c r="B1013" s="468"/>
      <c r="C1013" s="240" t="s">
        <v>469</v>
      </c>
      <c r="D1013" s="241"/>
      <c r="E1013" s="594"/>
      <c r="F1013" s="241"/>
      <c r="G1013" s="243"/>
      <c r="H1013" s="543"/>
    </row>
    <row r="1014" spans="1:8" s="544" customFormat="1" ht="21" customHeight="1">
      <c r="A1014" s="245"/>
      <c r="B1014" s="254"/>
      <c r="C1014" s="240" t="s">
        <v>470</v>
      </c>
      <c r="D1014" s="241"/>
      <c r="E1014" s="533"/>
      <c r="F1014" s="241"/>
      <c r="G1014" s="243"/>
      <c r="H1014" s="543"/>
    </row>
    <row r="1015" spans="1:8" s="544" customFormat="1" ht="21" customHeight="1">
      <c r="A1015" s="245"/>
      <c r="B1015" s="159" t="s">
        <v>462</v>
      </c>
      <c r="C1015" s="170" t="s">
        <v>465</v>
      </c>
      <c r="D1015" s="171" t="s">
        <v>2</v>
      </c>
      <c r="E1015" s="617" t="s">
        <v>80</v>
      </c>
      <c r="F1015" s="171" t="s">
        <v>5</v>
      </c>
      <c r="G1015" s="469" t="s">
        <v>70</v>
      </c>
      <c r="H1015" s="543"/>
    </row>
    <row r="1016" spans="1:8" s="544" customFormat="1" ht="21" customHeight="1">
      <c r="A1016" s="500" t="s">
        <v>463</v>
      </c>
      <c r="B1016" s="410">
        <v>2</v>
      </c>
      <c r="C1016" s="410"/>
      <c r="D1016" s="171">
        <v>528103.24</v>
      </c>
      <c r="E1016" s="618">
        <v>0</v>
      </c>
      <c r="F1016" s="171">
        <v>500000</v>
      </c>
      <c r="G1016" s="619">
        <f>SUM(D1016:F1016)</f>
        <v>1028103.24</v>
      </c>
      <c r="H1016" s="543"/>
    </row>
    <row r="1017" spans="1:8" s="544" customFormat="1" ht="21" customHeight="1">
      <c r="A1017" s="500" t="s">
        <v>464</v>
      </c>
      <c r="B1017" s="170">
        <v>24</v>
      </c>
      <c r="C1017" s="602">
        <v>906124</v>
      </c>
      <c r="D1017" s="171">
        <v>0</v>
      </c>
      <c r="E1017" s="617">
        <v>220700</v>
      </c>
      <c r="F1017" s="171">
        <v>4524790</v>
      </c>
      <c r="G1017" s="619">
        <f>SUM(C1017:F1017)</f>
        <v>5651614</v>
      </c>
      <c r="H1017" s="543"/>
    </row>
    <row r="1018" spans="1:8" s="544" customFormat="1" ht="21" customHeight="1" thickBot="1">
      <c r="A1018" s="245" t="s">
        <v>70</v>
      </c>
      <c r="B1018" s="620">
        <f aca="true" t="shared" si="0" ref="B1018:G1018">SUM(B1016:B1017)</f>
        <v>26</v>
      </c>
      <c r="C1018" s="621">
        <f t="shared" si="0"/>
        <v>906124</v>
      </c>
      <c r="D1018" s="622">
        <f t="shared" si="0"/>
        <v>528103.24</v>
      </c>
      <c r="E1018" s="623">
        <f t="shared" si="0"/>
        <v>220700</v>
      </c>
      <c r="F1018" s="622">
        <f>SUM(F1016:F1017)</f>
        <v>5024790</v>
      </c>
      <c r="G1018" s="624">
        <f t="shared" si="0"/>
        <v>6679717.24</v>
      </c>
      <c r="H1018" s="543"/>
    </row>
    <row r="1019" spans="1:8" s="544" customFormat="1" ht="21" customHeight="1" thickBot="1" thickTop="1">
      <c r="A1019" s="251"/>
      <c r="B1019" s="625"/>
      <c r="C1019" s="626"/>
      <c r="D1019" s="551"/>
      <c r="E1019" s="627"/>
      <c r="F1019" s="551"/>
      <c r="G1019" s="253"/>
      <c r="H1019" s="543"/>
    </row>
    <row r="1020" spans="1:8" s="544" customFormat="1" ht="21" customHeight="1">
      <c r="A1020" s="254"/>
      <c r="B1020" s="410"/>
      <c r="C1020" s="247"/>
      <c r="D1020" s="171"/>
      <c r="E1020" s="532"/>
      <c r="F1020" s="171"/>
      <c r="G1020" s="171"/>
      <c r="H1020" s="543"/>
    </row>
    <row r="1021" spans="1:7" ht="21" customHeight="1">
      <c r="A1021" s="254"/>
      <c r="B1021" s="254"/>
      <c r="C1021" s="159"/>
      <c r="D1021" s="171"/>
      <c r="E1021" s="539" t="s">
        <v>265</v>
      </c>
      <c r="F1021" s="159"/>
      <c r="G1021" s="171"/>
    </row>
    <row r="1022" spans="1:7" ht="21" customHeight="1">
      <c r="A1022" s="254"/>
      <c r="B1022" s="254"/>
      <c r="C1022" s="159"/>
      <c r="D1022" s="171"/>
      <c r="E1022" s="760" t="s">
        <v>169</v>
      </c>
      <c r="F1022" s="760"/>
      <c r="G1022" s="171"/>
    </row>
    <row r="1023" spans="1:7" ht="21" customHeight="1">
      <c r="A1023" s="254"/>
      <c r="B1023" s="254"/>
      <c r="C1023" s="159"/>
      <c r="D1023" s="760" t="s">
        <v>377</v>
      </c>
      <c r="E1023" s="760"/>
      <c r="F1023" s="760"/>
      <c r="G1023" s="760"/>
    </row>
    <row r="1024" spans="1:7" ht="21" customHeight="1">
      <c r="A1024" s="254"/>
      <c r="B1024" s="254"/>
      <c r="C1024" s="159"/>
      <c r="D1024" s="171"/>
      <c r="E1024" s="533"/>
      <c r="F1024" s="171"/>
      <c r="G1024" s="171"/>
    </row>
    <row r="1025" spans="1:7" ht="21" customHeight="1">
      <c r="A1025" s="254"/>
      <c r="B1025" s="254"/>
      <c r="C1025" s="159"/>
      <c r="D1025" s="171"/>
      <c r="E1025" s="792" t="s">
        <v>264</v>
      </c>
      <c r="F1025" s="792"/>
      <c r="G1025" s="171"/>
    </row>
    <row r="1026" spans="1:7" ht="21" customHeight="1">
      <c r="A1026" s="254"/>
      <c r="B1026" s="254"/>
      <c r="C1026" s="159"/>
      <c r="D1026" s="256"/>
      <c r="E1026" s="533"/>
      <c r="F1026" s="255"/>
      <c r="G1026" s="171"/>
    </row>
    <row r="1027" spans="1:7" ht="21" customHeight="1">
      <c r="A1027" s="254"/>
      <c r="B1027" s="254"/>
      <c r="C1027" s="159"/>
      <c r="D1027" s="171"/>
      <c r="E1027" s="792" t="s">
        <v>266</v>
      </c>
      <c r="F1027" s="792"/>
      <c r="G1027" s="792"/>
    </row>
    <row r="1028" spans="1:7" ht="21" customHeight="1">
      <c r="A1028" s="254"/>
      <c r="B1028" s="254"/>
      <c r="C1028" s="257"/>
      <c r="D1028" s="171"/>
      <c r="E1028" s="790" t="s">
        <v>402</v>
      </c>
      <c r="F1028" s="790"/>
      <c r="G1028" s="171"/>
    </row>
    <row r="1029" spans="1:7" ht="21" customHeight="1">
      <c r="A1029" s="254"/>
      <c r="B1029" s="254"/>
      <c r="C1029" s="240"/>
      <c r="D1029" s="793" t="s">
        <v>515</v>
      </c>
      <c r="E1029" s="793"/>
      <c r="F1029" s="793"/>
      <c r="G1029" s="793"/>
    </row>
    <row r="1033" spans="6:7" ht="21" customHeight="1">
      <c r="F1033" s="780" t="s">
        <v>476</v>
      </c>
      <c r="G1033" s="780"/>
    </row>
    <row r="1034" spans="5:7" ht="21" customHeight="1">
      <c r="E1034" s="746" t="s">
        <v>451</v>
      </c>
      <c r="F1034" s="746"/>
      <c r="G1034" s="746"/>
    </row>
    <row r="1035" spans="1:7" ht="21" customHeight="1">
      <c r="A1035" s="744" t="s">
        <v>89</v>
      </c>
      <c r="B1035" s="744"/>
      <c r="C1035" s="744"/>
      <c r="D1035" s="744"/>
      <c r="E1035" s="744"/>
      <c r="F1035" s="744"/>
      <c r="G1035" s="744"/>
    </row>
    <row r="1036" spans="1:4" ht="21" customHeight="1" thickBot="1">
      <c r="A1036" s="174" t="s">
        <v>121</v>
      </c>
      <c r="B1036" s="174"/>
      <c r="C1036" s="174"/>
      <c r="D1036" s="223"/>
    </row>
    <row r="1037" spans="1:7" ht="21" customHeight="1" thickBot="1">
      <c r="A1037" s="769" t="s">
        <v>52</v>
      </c>
      <c r="B1037" s="781"/>
      <c r="C1037" s="781"/>
      <c r="D1037" s="782"/>
      <c r="E1037" s="588" t="s">
        <v>47</v>
      </c>
      <c r="F1037" s="225" t="s">
        <v>9</v>
      </c>
      <c r="G1037" s="226" t="s">
        <v>10</v>
      </c>
    </row>
    <row r="1038" spans="1:9" s="548" customFormat="1" ht="21" customHeight="1">
      <c r="A1038" s="397" t="s">
        <v>467</v>
      </c>
      <c r="B1038" s="186"/>
      <c r="C1038" s="186"/>
      <c r="D1038" s="628"/>
      <c r="E1038" s="629" t="s">
        <v>468</v>
      </c>
      <c r="F1038" s="630">
        <v>286416.35</v>
      </c>
      <c r="G1038" s="631"/>
      <c r="H1038" s="549"/>
      <c r="I1038" s="549"/>
    </row>
    <row r="1039" spans="1:7" s="544" customFormat="1" ht="21" customHeight="1">
      <c r="A1039" s="397" t="s">
        <v>97</v>
      </c>
      <c r="B1039" s="186"/>
      <c r="C1039" s="186"/>
      <c r="D1039" s="263"/>
      <c r="E1039" s="632" t="s">
        <v>471</v>
      </c>
      <c r="F1039" s="633">
        <v>152667</v>
      </c>
      <c r="G1039" s="634"/>
    </row>
    <row r="1040" spans="1:8" s="544" customFormat="1" ht="21" customHeight="1">
      <c r="A1040" s="185"/>
      <c r="B1040" s="186" t="s">
        <v>7</v>
      </c>
      <c r="C1040" s="186"/>
      <c r="D1040" s="603"/>
      <c r="E1040" s="609">
        <v>310000</v>
      </c>
      <c r="F1040" s="404"/>
      <c r="G1040" s="606">
        <f>SUM(F1038:F1039)</f>
        <v>439083.35</v>
      </c>
      <c r="H1040" s="543"/>
    </row>
    <row r="1041" spans="1:8" s="544" customFormat="1" ht="21" customHeight="1">
      <c r="A1041" s="185"/>
      <c r="B1041" s="186"/>
      <c r="C1041" s="186"/>
      <c r="D1041" s="603"/>
      <c r="E1041" s="609"/>
      <c r="F1041" s="404"/>
      <c r="G1041" s="606"/>
      <c r="H1041" s="543"/>
    </row>
    <row r="1042" spans="1:8" s="544" customFormat="1" ht="21" customHeight="1">
      <c r="A1042" s="185"/>
      <c r="B1042" s="186"/>
      <c r="C1042" s="186"/>
      <c r="D1042" s="603"/>
      <c r="E1042" s="607"/>
      <c r="F1042" s="404"/>
      <c r="G1042" s="606"/>
      <c r="H1042" s="543"/>
    </row>
    <row r="1043" spans="1:8" s="544" customFormat="1" ht="21" customHeight="1">
      <c r="A1043" s="185"/>
      <c r="B1043" s="186"/>
      <c r="C1043" s="186"/>
      <c r="D1043" s="608"/>
      <c r="E1043" s="610"/>
      <c r="F1043" s="404"/>
      <c r="G1043" s="606"/>
      <c r="H1043" s="543"/>
    </row>
    <row r="1044" spans="1:8" s="544" customFormat="1" ht="21" customHeight="1">
      <c r="A1044" s="185"/>
      <c r="B1044" s="186"/>
      <c r="C1044" s="186"/>
      <c r="D1044" s="608"/>
      <c r="E1044" s="610"/>
      <c r="F1044" s="404"/>
      <c r="G1044" s="606"/>
      <c r="H1044" s="543"/>
    </row>
    <row r="1045" spans="1:8" s="544" customFormat="1" ht="21" customHeight="1">
      <c r="A1045" s="185"/>
      <c r="B1045" s="186"/>
      <c r="C1045" s="186"/>
      <c r="D1045" s="608"/>
      <c r="E1045" s="610"/>
      <c r="F1045" s="404"/>
      <c r="G1045" s="606"/>
      <c r="H1045" s="543"/>
    </row>
    <row r="1046" spans="1:8" s="544" customFormat="1" ht="21" customHeight="1" hidden="1">
      <c r="A1046" s="185"/>
      <c r="B1046" s="186"/>
      <c r="C1046" s="186"/>
      <c r="D1046" s="608"/>
      <c r="E1046" s="609"/>
      <c r="F1046" s="404"/>
      <c r="G1046" s="606"/>
      <c r="H1046" s="543"/>
    </row>
    <row r="1047" spans="1:8" s="544" customFormat="1" ht="21" customHeight="1">
      <c r="A1047" s="185"/>
      <c r="B1047" s="186"/>
      <c r="C1047" s="186"/>
      <c r="D1047" s="608"/>
      <c r="E1047" s="609"/>
      <c r="F1047" s="404"/>
      <c r="G1047" s="606"/>
      <c r="H1047" s="543"/>
    </row>
    <row r="1048" spans="1:8" s="544" customFormat="1" ht="21" customHeight="1">
      <c r="A1048" s="185"/>
      <c r="B1048" s="186"/>
      <c r="C1048" s="186"/>
      <c r="D1048" s="608"/>
      <c r="E1048" s="610"/>
      <c r="F1048" s="404"/>
      <c r="G1048" s="606"/>
      <c r="H1048" s="543"/>
    </row>
    <row r="1049" spans="1:8" s="544" customFormat="1" ht="21" customHeight="1">
      <c r="A1049" s="611"/>
      <c r="B1049" s="612"/>
      <c r="C1049" s="612"/>
      <c r="D1049" s="613"/>
      <c r="E1049" s="610"/>
      <c r="F1049" s="614"/>
      <c r="G1049" s="606"/>
      <c r="H1049" s="543"/>
    </row>
    <row r="1050" spans="1:8" s="544" customFormat="1" ht="21" customHeight="1">
      <c r="A1050" s="611"/>
      <c r="B1050" s="612"/>
      <c r="C1050" s="612"/>
      <c r="D1050" s="613"/>
      <c r="E1050" s="610"/>
      <c r="F1050" s="614"/>
      <c r="G1050" s="606"/>
      <c r="H1050" s="543"/>
    </row>
    <row r="1051" spans="1:8" s="544" customFormat="1" ht="21" customHeight="1">
      <c r="A1051" s="611"/>
      <c r="B1051" s="612"/>
      <c r="C1051" s="612"/>
      <c r="D1051" s="613"/>
      <c r="E1051" s="610"/>
      <c r="F1051" s="615"/>
      <c r="G1051" s="616"/>
      <c r="H1051" s="543"/>
    </row>
    <row r="1052" spans="1:8" s="544" customFormat="1" ht="21" customHeight="1" thickBot="1">
      <c r="A1052" s="235"/>
      <c r="B1052" s="236"/>
      <c r="C1052" s="236"/>
      <c r="D1052" s="237"/>
      <c r="E1052" s="591"/>
      <c r="F1052" s="238">
        <f>SUM(F1038:F1041)</f>
        <v>439083.35</v>
      </c>
      <c r="G1052" s="239">
        <f>SUM(G1039:G1044)</f>
        <v>439083.35</v>
      </c>
      <c r="H1052" s="543"/>
    </row>
    <row r="1053" spans="1:8" s="544" customFormat="1" ht="21" customHeight="1" thickTop="1">
      <c r="A1053" s="502" t="s">
        <v>90</v>
      </c>
      <c r="B1053" s="159"/>
      <c r="C1053" s="159"/>
      <c r="D1053" s="159"/>
      <c r="E1053" s="539"/>
      <c r="F1053" s="159"/>
      <c r="G1053" s="464"/>
      <c r="H1053" s="543"/>
    </row>
    <row r="1054" spans="1:8" s="544" customFormat="1" ht="21" customHeight="1">
      <c r="A1054" s="245">
        <v>1</v>
      </c>
      <c r="B1054" s="240" t="s">
        <v>473</v>
      </c>
      <c r="C1054" s="241"/>
      <c r="D1054" s="242"/>
      <c r="E1054" s="532"/>
      <c r="F1054" s="171"/>
      <c r="G1054" s="243"/>
      <c r="H1054" s="543"/>
    </row>
    <row r="1055" spans="1:8" s="544" customFormat="1" ht="21" customHeight="1">
      <c r="A1055" s="245"/>
      <c r="B1055" s="250" t="s">
        <v>472</v>
      </c>
      <c r="C1055" s="241"/>
      <c r="D1055" s="242"/>
      <c r="E1055" s="532"/>
      <c r="F1055" s="171"/>
      <c r="G1055" s="243"/>
      <c r="H1055" s="543"/>
    </row>
    <row r="1056" spans="1:8" s="544" customFormat="1" ht="21" customHeight="1">
      <c r="A1056" s="245">
        <v>2</v>
      </c>
      <c r="B1056" s="240" t="s">
        <v>474</v>
      </c>
      <c r="C1056" s="241"/>
      <c r="D1056" s="242"/>
      <c r="E1056" s="532"/>
      <c r="F1056" s="171"/>
      <c r="G1056" s="243"/>
      <c r="H1056" s="543"/>
    </row>
    <row r="1057" spans="1:8" s="544" customFormat="1" ht="21" customHeight="1">
      <c r="A1057" s="500"/>
      <c r="B1057" s="250" t="s">
        <v>475</v>
      </c>
      <c r="C1057" s="241"/>
      <c r="D1057" s="242"/>
      <c r="E1057" s="532"/>
      <c r="F1057" s="171"/>
      <c r="G1057" s="243"/>
      <c r="H1057" s="543"/>
    </row>
    <row r="1058" spans="1:8" s="544" customFormat="1" ht="21" customHeight="1">
      <c r="A1058" s="500"/>
      <c r="B1058" s="170"/>
      <c r="C1058" s="170"/>
      <c r="D1058" s="171"/>
      <c r="E1058" s="617"/>
      <c r="F1058" s="171"/>
      <c r="G1058" s="619"/>
      <c r="H1058" s="543"/>
    </row>
    <row r="1059" spans="1:8" s="544" customFormat="1" ht="21" customHeight="1" thickBot="1">
      <c r="A1059" s="251"/>
      <c r="B1059" s="625"/>
      <c r="C1059" s="626"/>
      <c r="D1059" s="551"/>
      <c r="E1059" s="627"/>
      <c r="F1059" s="551"/>
      <c r="G1059" s="253"/>
      <c r="H1059" s="543"/>
    </row>
    <row r="1060" spans="1:8" s="544" customFormat="1" ht="21" customHeight="1">
      <c r="A1060" s="254"/>
      <c r="B1060" s="410"/>
      <c r="C1060" s="247"/>
      <c r="D1060" s="171"/>
      <c r="E1060" s="532"/>
      <c r="F1060" s="171"/>
      <c r="G1060" s="171"/>
      <c r="H1060" s="543"/>
    </row>
    <row r="1061" spans="1:8" s="544" customFormat="1" ht="21" customHeight="1">
      <c r="A1061" s="254"/>
      <c r="B1061" s="410"/>
      <c r="C1061" s="247"/>
      <c r="D1061" s="171"/>
      <c r="E1061" s="532"/>
      <c r="F1061" s="171"/>
      <c r="G1061" s="171"/>
      <c r="H1061" s="543"/>
    </row>
    <row r="1062" spans="1:7" ht="21" customHeight="1">
      <c r="A1062" s="254"/>
      <c r="B1062" s="254"/>
      <c r="C1062" s="159"/>
      <c r="D1062" s="171"/>
      <c r="E1062" s="539" t="s">
        <v>265</v>
      </c>
      <c r="F1062" s="159"/>
      <c r="G1062" s="171"/>
    </row>
    <row r="1063" spans="1:7" ht="21" customHeight="1">
      <c r="A1063" s="254"/>
      <c r="B1063" s="254"/>
      <c r="C1063" s="159"/>
      <c r="D1063" s="171"/>
      <c r="E1063" s="760" t="s">
        <v>169</v>
      </c>
      <c r="F1063" s="760"/>
      <c r="G1063" s="171"/>
    </row>
    <row r="1064" spans="1:7" ht="21" customHeight="1">
      <c r="A1064" s="254"/>
      <c r="B1064" s="254"/>
      <c r="C1064" s="159"/>
      <c r="D1064" s="760" t="s">
        <v>377</v>
      </c>
      <c r="E1064" s="760"/>
      <c r="F1064" s="760"/>
      <c r="G1064" s="760"/>
    </row>
    <row r="1065" spans="1:7" ht="21" customHeight="1">
      <c r="A1065" s="254"/>
      <c r="B1065" s="254"/>
      <c r="C1065" s="159"/>
      <c r="D1065" s="171"/>
      <c r="E1065" s="533"/>
      <c r="F1065" s="171"/>
      <c r="G1065" s="171"/>
    </row>
    <row r="1066" spans="1:7" ht="21" customHeight="1">
      <c r="A1066" s="254"/>
      <c r="B1066" s="254"/>
      <c r="C1066" s="159"/>
      <c r="D1066" s="171"/>
      <c r="E1066" s="792" t="s">
        <v>264</v>
      </c>
      <c r="F1066" s="792"/>
      <c r="G1066" s="171"/>
    </row>
    <row r="1067" spans="1:7" ht="21" customHeight="1">
      <c r="A1067" s="254"/>
      <c r="B1067" s="254"/>
      <c r="C1067" s="159"/>
      <c r="D1067" s="256"/>
      <c r="E1067" s="533"/>
      <c r="F1067" s="255"/>
      <c r="G1067" s="171"/>
    </row>
    <row r="1068" spans="1:7" ht="21" customHeight="1">
      <c r="A1068" s="254"/>
      <c r="B1068" s="254"/>
      <c r="C1068" s="159"/>
      <c r="D1068" s="171"/>
      <c r="E1068" s="539" t="s">
        <v>266</v>
      </c>
      <c r="F1068" s="159"/>
      <c r="G1068" s="171"/>
    </row>
    <row r="1069" spans="1:7" ht="21" customHeight="1">
      <c r="A1069" s="254"/>
      <c r="B1069" s="254"/>
      <c r="C1069" s="257"/>
      <c r="D1069" s="171"/>
      <c r="E1069" s="790" t="s">
        <v>402</v>
      </c>
      <c r="F1069" s="790"/>
      <c r="G1069" s="171"/>
    </row>
    <row r="1070" spans="1:7" ht="21" customHeight="1">
      <c r="A1070" s="254"/>
      <c r="B1070" s="254"/>
      <c r="C1070" s="240"/>
      <c r="D1070" s="793" t="s">
        <v>515</v>
      </c>
      <c r="E1070" s="793"/>
      <c r="F1070" s="793"/>
      <c r="G1070" s="793"/>
    </row>
    <row r="1073" spans="6:7" ht="21" customHeight="1">
      <c r="F1073" s="780" t="s">
        <v>477</v>
      </c>
      <c r="G1073" s="780"/>
    </row>
    <row r="1074" spans="5:7" ht="21" customHeight="1">
      <c r="E1074" s="746" t="s">
        <v>451</v>
      </c>
      <c r="F1074" s="746"/>
      <c r="G1074" s="746"/>
    </row>
    <row r="1075" spans="1:7" ht="21" customHeight="1">
      <c r="A1075" s="744" t="s">
        <v>89</v>
      </c>
      <c r="B1075" s="744"/>
      <c r="C1075" s="744"/>
      <c r="D1075" s="744"/>
      <c r="E1075" s="744"/>
      <c r="F1075" s="744"/>
      <c r="G1075" s="744"/>
    </row>
    <row r="1076" spans="1:4" ht="21" customHeight="1" thickBot="1">
      <c r="A1076" s="174" t="s">
        <v>121</v>
      </c>
      <c r="B1076" s="174"/>
      <c r="C1076" s="174"/>
      <c r="D1076" s="223"/>
    </row>
    <row r="1077" spans="1:7" ht="21" customHeight="1" thickBot="1">
      <c r="A1077" s="769" t="s">
        <v>52</v>
      </c>
      <c r="B1077" s="781"/>
      <c r="C1077" s="781"/>
      <c r="D1077" s="782"/>
      <c r="E1077" s="588" t="s">
        <v>47</v>
      </c>
      <c r="F1077" s="225" t="s">
        <v>9</v>
      </c>
      <c r="G1077" s="226" t="s">
        <v>10</v>
      </c>
    </row>
    <row r="1078" spans="1:9" s="548" customFormat="1" ht="21" customHeight="1">
      <c r="A1078" s="798" t="s">
        <v>478</v>
      </c>
      <c r="B1078" s="799"/>
      <c r="C1078" s="799"/>
      <c r="D1078" s="800"/>
      <c r="E1078" s="629" t="s">
        <v>481</v>
      </c>
      <c r="F1078" s="630">
        <v>3120</v>
      </c>
      <c r="G1078" s="631"/>
      <c r="H1078" s="549"/>
      <c r="I1078" s="549"/>
    </row>
    <row r="1079" spans="1:7" s="544" customFormat="1" ht="21" customHeight="1">
      <c r="A1079" s="397" t="s">
        <v>479</v>
      </c>
      <c r="B1079" s="186"/>
      <c r="C1079" s="186"/>
      <c r="D1079" s="263"/>
      <c r="E1079" s="632" t="s">
        <v>481</v>
      </c>
      <c r="F1079" s="633">
        <v>14300</v>
      </c>
      <c r="G1079" s="634"/>
    </row>
    <row r="1080" spans="1:8" s="544" customFormat="1" ht="21" customHeight="1">
      <c r="A1080" s="765" t="s">
        <v>480</v>
      </c>
      <c r="B1080" s="766"/>
      <c r="C1080" s="766"/>
      <c r="D1080" s="801"/>
      <c r="E1080" s="609" t="s">
        <v>481</v>
      </c>
      <c r="F1080" s="404">
        <v>23200</v>
      </c>
      <c r="G1080" s="606"/>
      <c r="H1080" s="543"/>
    </row>
    <row r="1081" spans="1:8" s="544" customFormat="1" ht="21" customHeight="1">
      <c r="A1081" s="185"/>
      <c r="B1081" s="186" t="s">
        <v>88</v>
      </c>
      <c r="C1081" s="186"/>
      <c r="D1081" s="603"/>
      <c r="E1081" s="609">
        <v>400000</v>
      </c>
      <c r="F1081" s="404"/>
      <c r="G1081" s="606">
        <f>SUM(F1078:F1080)</f>
        <v>40620</v>
      </c>
      <c r="H1081" s="543"/>
    </row>
    <row r="1082" spans="1:8" s="544" customFormat="1" ht="21" customHeight="1">
      <c r="A1082" s="185"/>
      <c r="B1082" s="186"/>
      <c r="C1082" s="186"/>
      <c r="D1082" s="603"/>
      <c r="E1082" s="607"/>
      <c r="F1082" s="404"/>
      <c r="G1082" s="606"/>
      <c r="H1082" s="543"/>
    </row>
    <row r="1083" spans="1:8" s="544" customFormat="1" ht="21" customHeight="1">
      <c r="A1083" s="185"/>
      <c r="B1083" s="186"/>
      <c r="C1083" s="186"/>
      <c r="D1083" s="608"/>
      <c r="E1083" s="610"/>
      <c r="F1083" s="404"/>
      <c r="G1083" s="606"/>
      <c r="H1083" s="543"/>
    </row>
    <row r="1084" spans="1:8" s="544" customFormat="1" ht="21" customHeight="1">
      <c r="A1084" s="185"/>
      <c r="B1084" s="186"/>
      <c r="C1084" s="186"/>
      <c r="D1084" s="608"/>
      <c r="E1084" s="610"/>
      <c r="F1084" s="404"/>
      <c r="G1084" s="606"/>
      <c r="H1084" s="543"/>
    </row>
    <row r="1085" spans="1:8" s="544" customFormat="1" ht="21" customHeight="1">
      <c r="A1085" s="185"/>
      <c r="B1085" s="186"/>
      <c r="C1085" s="186"/>
      <c r="D1085" s="608"/>
      <c r="E1085" s="610"/>
      <c r="F1085" s="404"/>
      <c r="G1085" s="606"/>
      <c r="H1085" s="543"/>
    </row>
    <row r="1086" spans="1:8" s="544" customFormat="1" ht="21" customHeight="1" hidden="1">
      <c r="A1086" s="185"/>
      <c r="B1086" s="186"/>
      <c r="C1086" s="186"/>
      <c r="D1086" s="608"/>
      <c r="E1086" s="609"/>
      <c r="F1086" s="404"/>
      <c r="G1086" s="606"/>
      <c r="H1086" s="543"/>
    </row>
    <row r="1087" spans="1:8" s="544" customFormat="1" ht="21" customHeight="1">
      <c r="A1087" s="185"/>
      <c r="B1087" s="186"/>
      <c r="C1087" s="186"/>
      <c r="D1087" s="608"/>
      <c r="E1087" s="609"/>
      <c r="F1087" s="404"/>
      <c r="G1087" s="606"/>
      <c r="H1087" s="543"/>
    </row>
    <row r="1088" spans="1:8" s="544" customFormat="1" ht="21" customHeight="1">
      <c r="A1088" s="185"/>
      <c r="B1088" s="186"/>
      <c r="C1088" s="186"/>
      <c r="D1088" s="608"/>
      <c r="E1088" s="610"/>
      <c r="F1088" s="404"/>
      <c r="G1088" s="606"/>
      <c r="H1088" s="543"/>
    </row>
    <row r="1089" spans="1:8" s="544" customFormat="1" ht="21" customHeight="1">
      <c r="A1089" s="611"/>
      <c r="B1089" s="612"/>
      <c r="C1089" s="612"/>
      <c r="D1089" s="613"/>
      <c r="E1089" s="610"/>
      <c r="F1089" s="614"/>
      <c r="G1089" s="606"/>
      <c r="H1089" s="543"/>
    </row>
    <row r="1090" spans="1:8" s="544" customFormat="1" ht="21" customHeight="1">
      <c r="A1090" s="611"/>
      <c r="B1090" s="612"/>
      <c r="C1090" s="612"/>
      <c r="D1090" s="613"/>
      <c r="E1090" s="610"/>
      <c r="F1090" s="614"/>
      <c r="G1090" s="606"/>
      <c r="H1090" s="543"/>
    </row>
    <row r="1091" spans="1:8" s="544" customFormat="1" ht="21" customHeight="1">
      <c r="A1091" s="611"/>
      <c r="B1091" s="612"/>
      <c r="C1091" s="612"/>
      <c r="D1091" s="613"/>
      <c r="E1091" s="610"/>
      <c r="F1091" s="615"/>
      <c r="G1091" s="616"/>
      <c r="H1091" s="543"/>
    </row>
    <row r="1092" spans="1:8" s="544" customFormat="1" ht="21" customHeight="1" thickBot="1">
      <c r="A1092" s="235"/>
      <c r="B1092" s="236"/>
      <c r="C1092" s="236"/>
      <c r="D1092" s="237"/>
      <c r="E1092" s="591"/>
      <c r="F1092" s="238">
        <f>SUM(F1078:F1081)</f>
        <v>40620</v>
      </c>
      <c r="G1092" s="239">
        <f>SUM(G1079:G1084)</f>
        <v>40620</v>
      </c>
      <c r="H1092" s="543"/>
    </row>
    <row r="1093" spans="1:8" s="544" customFormat="1" ht="21" customHeight="1" thickTop="1">
      <c r="A1093" s="502" t="s">
        <v>90</v>
      </c>
      <c r="B1093" s="159" t="s">
        <v>482</v>
      </c>
      <c r="C1093" s="159"/>
      <c r="D1093" s="159"/>
      <c r="E1093" s="539"/>
      <c r="F1093" s="159"/>
      <c r="G1093" s="464"/>
      <c r="H1093" s="543"/>
    </row>
    <row r="1094" spans="1:8" s="544" customFormat="1" ht="21" customHeight="1">
      <c r="A1094" s="245"/>
      <c r="B1094" s="240"/>
      <c r="C1094" s="241"/>
      <c r="D1094" s="242"/>
      <c r="E1094" s="532"/>
      <c r="F1094" s="171"/>
      <c r="G1094" s="243"/>
      <c r="H1094" s="543"/>
    </row>
    <row r="1095" spans="1:8" s="544" customFormat="1" ht="21" customHeight="1">
      <c r="A1095" s="245"/>
      <c r="B1095" s="250"/>
      <c r="C1095" s="241"/>
      <c r="D1095" s="242"/>
      <c r="E1095" s="532"/>
      <c r="F1095" s="171"/>
      <c r="G1095" s="243"/>
      <c r="H1095" s="543"/>
    </row>
    <row r="1096" spans="1:8" s="544" customFormat="1" ht="21" customHeight="1">
      <c r="A1096" s="245"/>
      <c r="B1096" s="240"/>
      <c r="C1096" s="241"/>
      <c r="D1096" s="242"/>
      <c r="E1096" s="532"/>
      <c r="F1096" s="171"/>
      <c r="G1096" s="243"/>
      <c r="H1096" s="543"/>
    </row>
    <row r="1097" spans="1:8" s="544" customFormat="1" ht="21" customHeight="1">
      <c r="A1097" s="500"/>
      <c r="B1097" s="250"/>
      <c r="C1097" s="241"/>
      <c r="D1097" s="242"/>
      <c r="E1097" s="532"/>
      <c r="F1097" s="171"/>
      <c r="G1097" s="243"/>
      <c r="H1097" s="543"/>
    </row>
    <row r="1098" spans="1:8" s="544" customFormat="1" ht="21" customHeight="1" thickBot="1">
      <c r="A1098" s="586"/>
      <c r="B1098" s="265"/>
      <c r="C1098" s="265"/>
      <c r="D1098" s="551"/>
      <c r="E1098" s="635"/>
      <c r="F1098" s="551"/>
      <c r="G1098" s="636"/>
      <c r="H1098" s="543"/>
    </row>
    <row r="1099" spans="1:8" s="544" customFormat="1" ht="21" customHeight="1">
      <c r="A1099" s="245"/>
      <c r="B1099" s="410"/>
      <c r="C1099" s="247"/>
      <c r="D1099" s="171"/>
      <c r="E1099" s="532"/>
      <c r="F1099" s="171"/>
      <c r="G1099" s="171"/>
      <c r="H1099" s="543"/>
    </row>
    <row r="1100" spans="1:8" s="544" customFormat="1" ht="21" customHeight="1">
      <c r="A1100" s="254"/>
      <c r="B1100" s="410"/>
      <c r="C1100" s="247"/>
      <c r="D1100" s="171"/>
      <c r="E1100" s="532"/>
      <c r="F1100" s="171"/>
      <c r="G1100" s="171"/>
      <c r="H1100" s="543"/>
    </row>
    <row r="1101" spans="1:8" s="544" customFormat="1" ht="21" customHeight="1">
      <c r="A1101" s="254"/>
      <c r="B1101" s="410"/>
      <c r="C1101" s="247"/>
      <c r="D1101" s="171"/>
      <c r="E1101" s="532"/>
      <c r="F1101" s="171"/>
      <c r="G1101" s="171"/>
      <c r="H1101" s="543"/>
    </row>
    <row r="1102" spans="1:7" ht="21" customHeight="1">
      <c r="A1102" s="254"/>
      <c r="B1102" s="254"/>
      <c r="C1102" s="159"/>
      <c r="D1102" s="171"/>
      <c r="E1102" s="539" t="s">
        <v>265</v>
      </c>
      <c r="F1102" s="159"/>
      <c r="G1102" s="171"/>
    </row>
    <row r="1103" spans="1:7" ht="21" customHeight="1">
      <c r="A1103" s="254"/>
      <c r="B1103" s="254"/>
      <c r="C1103" s="159"/>
      <c r="D1103" s="171"/>
      <c r="E1103" s="760" t="s">
        <v>169</v>
      </c>
      <c r="F1103" s="760"/>
      <c r="G1103" s="171"/>
    </row>
    <row r="1104" spans="1:7" ht="21" customHeight="1">
      <c r="A1104" s="254"/>
      <c r="B1104" s="254"/>
      <c r="C1104" s="159"/>
      <c r="D1104" s="760" t="s">
        <v>377</v>
      </c>
      <c r="E1104" s="760"/>
      <c r="F1104" s="760"/>
      <c r="G1104" s="760"/>
    </row>
    <row r="1105" spans="1:7" ht="21" customHeight="1">
      <c r="A1105" s="254"/>
      <c r="B1105" s="254"/>
      <c r="C1105" s="159"/>
      <c r="D1105" s="171"/>
      <c r="E1105" s="533"/>
      <c r="F1105" s="171"/>
      <c r="G1105" s="171"/>
    </row>
    <row r="1106" spans="1:7" ht="21" customHeight="1">
      <c r="A1106" s="254"/>
      <c r="B1106" s="254"/>
      <c r="C1106" s="159"/>
      <c r="D1106" s="171"/>
      <c r="E1106" s="792" t="s">
        <v>264</v>
      </c>
      <c r="F1106" s="792"/>
      <c r="G1106" s="171"/>
    </row>
    <row r="1107" spans="1:7" ht="21" customHeight="1">
      <c r="A1107" s="254"/>
      <c r="B1107" s="254"/>
      <c r="C1107" s="159"/>
      <c r="D1107" s="256"/>
      <c r="E1107" s="533"/>
      <c r="F1107" s="255"/>
      <c r="G1107" s="171"/>
    </row>
    <row r="1108" spans="1:7" ht="21" customHeight="1">
      <c r="A1108" s="254"/>
      <c r="B1108" s="254"/>
      <c r="C1108" s="159"/>
      <c r="D1108" s="171"/>
      <c r="E1108" s="539" t="s">
        <v>266</v>
      </c>
      <c r="F1108" s="159"/>
      <c r="G1108" s="171"/>
    </row>
    <row r="1109" spans="1:7" ht="21" customHeight="1">
      <c r="A1109" s="254"/>
      <c r="B1109" s="254"/>
      <c r="C1109" s="257"/>
      <c r="D1109" s="171"/>
      <c r="E1109" s="790" t="s">
        <v>402</v>
      </c>
      <c r="F1109" s="790"/>
      <c r="G1109" s="171"/>
    </row>
    <row r="1110" spans="1:7" ht="21" customHeight="1">
      <c r="A1110" s="254"/>
      <c r="B1110" s="254"/>
      <c r="C1110" s="240"/>
      <c r="D1110" s="793" t="s">
        <v>515</v>
      </c>
      <c r="E1110" s="793"/>
      <c r="F1110" s="793"/>
      <c r="G1110" s="793"/>
    </row>
    <row r="1113" spans="6:7" ht="21" customHeight="1">
      <c r="F1113" s="780" t="s">
        <v>512</v>
      </c>
      <c r="G1113" s="780"/>
    </row>
    <row r="1114" spans="5:7" ht="21" customHeight="1">
      <c r="E1114" s="746" t="s">
        <v>451</v>
      </c>
      <c r="F1114" s="746"/>
      <c r="G1114" s="746"/>
    </row>
    <row r="1115" spans="1:7" ht="21" customHeight="1">
      <c r="A1115" s="744" t="s">
        <v>89</v>
      </c>
      <c r="B1115" s="744"/>
      <c r="C1115" s="744"/>
      <c r="D1115" s="744"/>
      <c r="E1115" s="744"/>
      <c r="F1115" s="744"/>
      <c r="G1115" s="744"/>
    </row>
    <row r="1116" spans="1:4" ht="21" customHeight="1" thickBot="1">
      <c r="A1116" s="174" t="s">
        <v>121</v>
      </c>
      <c r="B1116" s="174"/>
      <c r="C1116" s="174"/>
      <c r="D1116" s="223"/>
    </row>
    <row r="1117" spans="1:7" ht="21" customHeight="1" thickBot="1">
      <c r="A1117" s="769" t="s">
        <v>52</v>
      </c>
      <c r="B1117" s="781"/>
      <c r="C1117" s="781"/>
      <c r="D1117" s="782"/>
      <c r="E1117" s="588" t="s">
        <v>47</v>
      </c>
      <c r="F1117" s="225" t="s">
        <v>9</v>
      </c>
      <c r="G1117" s="226" t="s">
        <v>10</v>
      </c>
    </row>
    <row r="1118" spans="1:9" s="548" customFormat="1" ht="21" customHeight="1">
      <c r="A1118" s="798" t="s">
        <v>88</v>
      </c>
      <c r="B1118" s="799"/>
      <c r="C1118" s="799"/>
      <c r="D1118" s="800"/>
      <c r="E1118" s="629" t="s">
        <v>191</v>
      </c>
      <c r="F1118" s="630">
        <f>SUM(G1119:G1121)</f>
        <v>40620</v>
      </c>
      <c r="G1118" s="631"/>
      <c r="H1118" s="549"/>
      <c r="I1118" s="549"/>
    </row>
    <row r="1119" spans="1:7" s="544" customFormat="1" ht="21" customHeight="1">
      <c r="A1119" s="637"/>
      <c r="B1119" s="186" t="s">
        <v>483</v>
      </c>
      <c r="C1119" s="186"/>
      <c r="D1119" s="263"/>
      <c r="E1119" s="632" t="s">
        <v>363</v>
      </c>
      <c r="F1119" s="633"/>
      <c r="G1119" s="606">
        <v>3120</v>
      </c>
    </row>
    <row r="1120" spans="1:8" s="544" customFormat="1" ht="21" customHeight="1">
      <c r="A1120" s="185"/>
      <c r="B1120" s="186" t="s">
        <v>484</v>
      </c>
      <c r="C1120" s="186"/>
      <c r="D1120" s="263"/>
      <c r="E1120" s="632" t="s">
        <v>363</v>
      </c>
      <c r="F1120" s="404"/>
      <c r="G1120" s="606">
        <v>14300</v>
      </c>
      <c r="H1120" s="543"/>
    </row>
    <row r="1121" spans="1:8" s="544" customFormat="1" ht="21" customHeight="1">
      <c r="A1121" s="185"/>
      <c r="B1121" s="186" t="s">
        <v>485</v>
      </c>
      <c r="C1121" s="186"/>
      <c r="D1121" s="263"/>
      <c r="E1121" s="632" t="s">
        <v>363</v>
      </c>
      <c r="F1121" s="404"/>
      <c r="G1121" s="606">
        <v>23200</v>
      </c>
      <c r="H1121" s="543"/>
    </row>
    <row r="1122" spans="1:8" s="544" customFormat="1" ht="21" customHeight="1">
      <c r="A1122" s="185"/>
      <c r="B1122" s="186"/>
      <c r="C1122" s="186"/>
      <c r="D1122" s="603"/>
      <c r="E1122" s="607"/>
      <c r="F1122" s="404"/>
      <c r="G1122" s="606"/>
      <c r="H1122" s="543"/>
    </row>
    <row r="1123" spans="1:8" s="544" customFormat="1" ht="21" customHeight="1">
      <c r="A1123" s="185"/>
      <c r="B1123" s="186"/>
      <c r="C1123" s="186"/>
      <c r="D1123" s="608"/>
      <c r="E1123" s="610"/>
      <c r="F1123" s="404"/>
      <c r="G1123" s="606"/>
      <c r="H1123" s="543"/>
    </row>
    <row r="1124" spans="1:8" s="544" customFormat="1" ht="21" customHeight="1">
      <c r="A1124" s="185"/>
      <c r="B1124" s="186"/>
      <c r="C1124" s="186"/>
      <c r="D1124" s="608"/>
      <c r="E1124" s="610"/>
      <c r="F1124" s="404"/>
      <c r="G1124" s="606"/>
      <c r="H1124" s="543"/>
    </row>
    <row r="1125" spans="1:8" s="544" customFormat="1" ht="21" customHeight="1">
      <c r="A1125" s="185"/>
      <c r="B1125" s="186"/>
      <c r="C1125" s="186"/>
      <c r="D1125" s="608"/>
      <c r="E1125" s="610"/>
      <c r="F1125" s="404"/>
      <c r="G1125" s="606"/>
      <c r="H1125" s="543"/>
    </row>
    <row r="1126" spans="1:8" s="544" customFormat="1" ht="21" customHeight="1" hidden="1">
      <c r="A1126" s="185"/>
      <c r="B1126" s="186"/>
      <c r="C1126" s="186"/>
      <c r="D1126" s="608"/>
      <c r="E1126" s="609"/>
      <c r="F1126" s="404"/>
      <c r="G1126" s="606"/>
      <c r="H1126" s="543"/>
    </row>
    <row r="1127" spans="1:8" s="544" customFormat="1" ht="21" customHeight="1">
      <c r="A1127" s="185"/>
      <c r="B1127" s="186"/>
      <c r="C1127" s="186"/>
      <c r="D1127" s="608"/>
      <c r="E1127" s="609"/>
      <c r="F1127" s="404"/>
      <c r="G1127" s="606"/>
      <c r="H1127" s="543"/>
    </row>
    <row r="1128" spans="1:8" s="544" customFormat="1" ht="21" customHeight="1">
      <c r="A1128" s="185"/>
      <c r="B1128" s="186"/>
      <c r="C1128" s="186"/>
      <c r="D1128" s="608"/>
      <c r="E1128" s="610"/>
      <c r="F1128" s="404"/>
      <c r="G1128" s="606"/>
      <c r="H1128" s="543"/>
    </row>
    <row r="1129" spans="1:8" s="544" customFormat="1" ht="21" customHeight="1">
      <c r="A1129" s="611"/>
      <c r="B1129" s="612"/>
      <c r="C1129" s="612"/>
      <c r="D1129" s="613"/>
      <c r="E1129" s="610"/>
      <c r="F1129" s="614"/>
      <c r="G1129" s="606"/>
      <c r="H1129" s="543"/>
    </row>
    <row r="1130" spans="1:8" s="544" customFormat="1" ht="21" customHeight="1">
      <c r="A1130" s="611"/>
      <c r="B1130" s="612"/>
      <c r="C1130" s="612"/>
      <c r="D1130" s="613"/>
      <c r="E1130" s="610"/>
      <c r="F1130" s="614"/>
      <c r="G1130" s="606"/>
      <c r="H1130" s="543"/>
    </row>
    <row r="1131" spans="1:8" s="544" customFormat="1" ht="21" customHeight="1">
      <c r="A1131" s="611"/>
      <c r="B1131" s="612"/>
      <c r="C1131" s="612"/>
      <c r="D1131" s="613"/>
      <c r="E1131" s="610"/>
      <c r="F1131" s="615"/>
      <c r="G1131" s="616"/>
      <c r="H1131" s="543"/>
    </row>
    <row r="1132" spans="1:8" s="544" customFormat="1" ht="21" customHeight="1" thickBot="1">
      <c r="A1132" s="235"/>
      <c r="B1132" s="236"/>
      <c r="C1132" s="236"/>
      <c r="D1132" s="237"/>
      <c r="E1132" s="591"/>
      <c r="F1132" s="238">
        <f>SUM(F1118:F1121)</f>
        <v>40620</v>
      </c>
      <c r="G1132" s="239">
        <f>SUM(G1119:G1124)</f>
        <v>40620</v>
      </c>
      <c r="H1132" s="543"/>
    </row>
    <row r="1133" spans="1:8" s="544" customFormat="1" ht="21" customHeight="1" thickTop="1">
      <c r="A1133" s="502" t="s">
        <v>90</v>
      </c>
      <c r="B1133" s="159" t="s">
        <v>486</v>
      </c>
      <c r="C1133" s="159"/>
      <c r="D1133" s="159"/>
      <c r="E1133" s="539"/>
      <c r="F1133" s="159"/>
      <c r="G1133" s="464"/>
      <c r="H1133" s="543"/>
    </row>
    <row r="1134" spans="1:8" s="544" customFormat="1" ht="21" customHeight="1">
      <c r="A1134" s="245"/>
      <c r="B1134" s="240"/>
      <c r="C1134" s="241"/>
      <c r="D1134" s="242"/>
      <c r="E1134" s="532"/>
      <c r="F1134" s="171"/>
      <c r="G1134" s="243"/>
      <c r="H1134" s="543"/>
    </row>
    <row r="1135" spans="1:8" s="544" customFormat="1" ht="21" customHeight="1">
      <c r="A1135" s="245"/>
      <c r="B1135" s="250"/>
      <c r="C1135" s="241"/>
      <c r="D1135" s="242"/>
      <c r="E1135" s="532"/>
      <c r="F1135" s="171"/>
      <c r="G1135" s="243"/>
      <c r="H1135" s="543"/>
    </row>
    <row r="1136" spans="1:8" s="544" customFormat="1" ht="21" customHeight="1">
      <c r="A1136" s="245"/>
      <c r="B1136" s="240"/>
      <c r="C1136" s="241"/>
      <c r="D1136" s="242"/>
      <c r="E1136" s="532"/>
      <c r="F1136" s="171"/>
      <c r="G1136" s="243"/>
      <c r="H1136" s="543"/>
    </row>
    <row r="1137" spans="1:8" s="544" customFormat="1" ht="21" customHeight="1">
      <c r="A1137" s="500"/>
      <c r="B1137" s="250"/>
      <c r="C1137" s="241"/>
      <c r="D1137" s="242"/>
      <c r="E1137" s="532"/>
      <c r="F1137" s="171"/>
      <c r="G1137" s="243"/>
      <c r="H1137" s="543"/>
    </row>
    <row r="1138" spans="1:8" s="544" customFormat="1" ht="21" customHeight="1" thickBot="1">
      <c r="A1138" s="586"/>
      <c r="B1138" s="265"/>
      <c r="C1138" s="265"/>
      <c r="D1138" s="551"/>
      <c r="E1138" s="635"/>
      <c r="F1138" s="551"/>
      <c r="G1138" s="636"/>
      <c r="H1138" s="543"/>
    </row>
    <row r="1139" spans="1:8" s="544" customFormat="1" ht="21" customHeight="1">
      <c r="A1139" s="245"/>
      <c r="B1139" s="410"/>
      <c r="C1139" s="247"/>
      <c r="D1139" s="171"/>
      <c r="E1139" s="532"/>
      <c r="F1139" s="171"/>
      <c r="G1139" s="171"/>
      <c r="H1139" s="543"/>
    </row>
    <row r="1140" spans="1:8" s="544" customFormat="1" ht="21" customHeight="1">
      <c r="A1140" s="254"/>
      <c r="B1140" s="410"/>
      <c r="C1140" s="247"/>
      <c r="D1140" s="171"/>
      <c r="E1140" s="532"/>
      <c r="F1140" s="171"/>
      <c r="G1140" s="171"/>
      <c r="H1140" s="543"/>
    </row>
    <row r="1141" spans="1:8" s="544" customFormat="1" ht="21" customHeight="1">
      <c r="A1141" s="254"/>
      <c r="B1141" s="410"/>
      <c r="C1141" s="247"/>
      <c r="D1141" s="171"/>
      <c r="E1141" s="532"/>
      <c r="F1141" s="171"/>
      <c r="G1141" s="171"/>
      <c r="H1141" s="543"/>
    </row>
    <row r="1142" spans="1:7" ht="21" customHeight="1">
      <c r="A1142" s="254"/>
      <c r="B1142" s="254"/>
      <c r="C1142" s="159"/>
      <c r="D1142" s="171"/>
      <c r="E1142" s="539" t="s">
        <v>265</v>
      </c>
      <c r="F1142" s="159"/>
      <c r="G1142" s="171"/>
    </row>
    <row r="1143" spans="1:7" ht="21" customHeight="1">
      <c r="A1143" s="254"/>
      <c r="B1143" s="254"/>
      <c r="C1143" s="159"/>
      <c r="D1143" s="171"/>
      <c r="E1143" s="760" t="s">
        <v>169</v>
      </c>
      <c r="F1143" s="760"/>
      <c r="G1143" s="171"/>
    </row>
    <row r="1144" spans="1:7" ht="21" customHeight="1">
      <c r="A1144" s="254"/>
      <c r="B1144" s="254"/>
      <c r="C1144" s="159"/>
      <c r="D1144" s="760" t="s">
        <v>377</v>
      </c>
      <c r="E1144" s="760"/>
      <c r="F1144" s="760"/>
      <c r="G1144" s="760"/>
    </row>
    <row r="1145" spans="1:7" ht="21" customHeight="1">
      <c r="A1145" s="254"/>
      <c r="B1145" s="254"/>
      <c r="C1145" s="159"/>
      <c r="D1145" s="171"/>
      <c r="E1145" s="533"/>
      <c r="F1145" s="171"/>
      <c r="G1145" s="171"/>
    </row>
    <row r="1146" spans="1:7" ht="21" customHeight="1">
      <c r="A1146" s="254"/>
      <c r="B1146" s="254"/>
      <c r="C1146" s="159"/>
      <c r="D1146" s="171"/>
      <c r="E1146" s="792" t="s">
        <v>264</v>
      </c>
      <c r="F1146" s="792"/>
      <c r="G1146" s="171"/>
    </row>
    <row r="1147" spans="1:7" ht="21" customHeight="1">
      <c r="A1147" s="254"/>
      <c r="B1147" s="254"/>
      <c r="C1147" s="159"/>
      <c r="D1147" s="256"/>
      <c r="E1147" s="533"/>
      <c r="F1147" s="255"/>
      <c r="G1147" s="171"/>
    </row>
    <row r="1148" spans="1:7" ht="21" customHeight="1">
      <c r="A1148" s="254"/>
      <c r="B1148" s="254"/>
      <c r="C1148" s="159"/>
      <c r="D1148" s="171"/>
      <c r="E1148" s="539" t="s">
        <v>266</v>
      </c>
      <c r="F1148" s="159"/>
      <c r="G1148" s="171"/>
    </row>
    <row r="1149" spans="1:7" ht="21" customHeight="1">
      <c r="A1149" s="254"/>
      <c r="B1149" s="254"/>
      <c r="C1149" s="257"/>
      <c r="D1149" s="171"/>
      <c r="E1149" s="790" t="s">
        <v>402</v>
      </c>
      <c r="F1149" s="790"/>
      <c r="G1149" s="171"/>
    </row>
    <row r="1150" spans="1:7" ht="21" customHeight="1">
      <c r="A1150" s="254"/>
      <c r="B1150" s="254"/>
      <c r="C1150" s="240"/>
      <c r="D1150" s="793" t="s">
        <v>515</v>
      </c>
      <c r="E1150" s="793"/>
      <c r="F1150" s="793"/>
      <c r="G1150" s="793"/>
    </row>
    <row r="1153" spans="6:7" ht="21" customHeight="1">
      <c r="F1153" s="780" t="s">
        <v>513</v>
      </c>
      <c r="G1153" s="780"/>
    </row>
    <row r="1154" spans="5:7" ht="21" customHeight="1">
      <c r="E1154" s="746" t="s">
        <v>451</v>
      </c>
      <c r="F1154" s="746"/>
      <c r="G1154" s="746"/>
    </row>
    <row r="1155" spans="1:7" ht="21" customHeight="1">
      <c r="A1155" s="744" t="s">
        <v>89</v>
      </c>
      <c r="B1155" s="744"/>
      <c r="C1155" s="744"/>
      <c r="D1155" s="744"/>
      <c r="E1155" s="744"/>
      <c r="F1155" s="744"/>
      <c r="G1155" s="744"/>
    </row>
    <row r="1156" spans="1:4" ht="21" customHeight="1" thickBot="1">
      <c r="A1156" s="174" t="s">
        <v>121</v>
      </c>
      <c r="B1156" s="174"/>
      <c r="C1156" s="174"/>
      <c r="D1156" s="223"/>
    </row>
    <row r="1157" spans="1:7" ht="21" customHeight="1" thickBot="1">
      <c r="A1157" s="769" t="s">
        <v>52</v>
      </c>
      <c r="B1157" s="781"/>
      <c r="C1157" s="781"/>
      <c r="D1157" s="782"/>
      <c r="E1157" s="588" t="s">
        <v>47</v>
      </c>
      <c r="F1157" s="225" t="s">
        <v>9</v>
      </c>
      <c r="G1157" s="226" t="s">
        <v>10</v>
      </c>
    </row>
    <row r="1158" spans="1:7" ht="21" customHeight="1">
      <c r="A1158" s="185" t="s">
        <v>109</v>
      </c>
      <c r="B1158" s="186"/>
      <c r="C1158" s="186"/>
      <c r="D1158" s="186"/>
      <c r="E1158" s="589" t="s">
        <v>242</v>
      </c>
      <c r="F1158" s="605">
        <v>1485</v>
      </c>
      <c r="G1158" s="228"/>
    </row>
    <row r="1159" spans="1:7" ht="21" customHeight="1">
      <c r="A1159" s="185"/>
      <c r="B1159" s="186"/>
      <c r="C1159" s="186" t="s">
        <v>88</v>
      </c>
      <c r="D1159" s="603"/>
      <c r="E1159" s="604" t="s">
        <v>191</v>
      </c>
      <c r="F1159" s="234"/>
      <c r="G1159" s="231">
        <f>SUM(F1158:F1158)</f>
        <v>1485</v>
      </c>
    </row>
    <row r="1160" spans="1:7" ht="21" customHeight="1">
      <c r="A1160" s="185"/>
      <c r="B1160" s="186"/>
      <c r="C1160" s="186"/>
      <c r="D1160" s="603"/>
      <c r="E1160" s="604"/>
      <c r="F1160" s="404"/>
      <c r="G1160" s="606"/>
    </row>
    <row r="1161" spans="1:7" ht="21" customHeight="1">
      <c r="A1161" s="185"/>
      <c r="B1161" s="186"/>
      <c r="C1161" s="186"/>
      <c r="D1161" s="603"/>
      <c r="E1161" s="607"/>
      <c r="F1161" s="404"/>
      <c r="G1161" s="606"/>
    </row>
    <row r="1162" spans="1:7" ht="21" customHeight="1">
      <c r="A1162" s="185"/>
      <c r="B1162" s="186"/>
      <c r="C1162" s="186"/>
      <c r="D1162" s="608"/>
      <c r="E1162" s="609"/>
      <c r="F1162" s="404"/>
      <c r="G1162" s="606"/>
    </row>
    <row r="1163" spans="1:7" ht="21" customHeight="1">
      <c r="A1163" s="185"/>
      <c r="B1163" s="186"/>
      <c r="C1163" s="186"/>
      <c r="D1163" s="608"/>
      <c r="E1163" s="610"/>
      <c r="F1163" s="404"/>
      <c r="G1163" s="606"/>
    </row>
    <row r="1164" spans="1:7" ht="21" customHeight="1">
      <c r="A1164" s="611"/>
      <c r="B1164" s="612"/>
      <c r="C1164" s="612"/>
      <c r="D1164" s="613"/>
      <c r="E1164" s="610"/>
      <c r="F1164" s="614"/>
      <c r="G1164" s="606"/>
    </row>
    <row r="1165" spans="1:7" ht="21" customHeight="1">
      <c r="A1165" s="611"/>
      <c r="B1165" s="612"/>
      <c r="C1165" s="612"/>
      <c r="D1165" s="613"/>
      <c r="E1165" s="610"/>
      <c r="F1165" s="614"/>
      <c r="G1165" s="606"/>
    </row>
    <row r="1166" spans="1:7" ht="21" customHeight="1">
      <c r="A1166" s="611"/>
      <c r="B1166" s="612"/>
      <c r="C1166" s="612"/>
      <c r="D1166" s="613"/>
      <c r="E1166" s="610"/>
      <c r="F1166" s="615"/>
      <c r="G1166" s="616"/>
    </row>
    <row r="1167" spans="1:7" ht="21" customHeight="1" thickBot="1">
      <c r="A1167" s="235"/>
      <c r="B1167" s="236"/>
      <c r="C1167" s="236"/>
      <c r="D1167" s="237"/>
      <c r="E1167" s="591"/>
      <c r="F1167" s="238">
        <f>SUM(F1158:F1160)</f>
        <v>1485</v>
      </c>
      <c r="G1167" s="239">
        <f>SUM(G1159:G1161)</f>
        <v>1485</v>
      </c>
    </row>
    <row r="1168" spans="1:7" ht="21" customHeight="1" thickTop="1">
      <c r="A1168" s="158" t="s">
        <v>90</v>
      </c>
      <c r="B1168" s="240" t="s">
        <v>482</v>
      </c>
      <c r="C1168" s="241"/>
      <c r="D1168" s="242"/>
      <c r="F1168" s="241"/>
      <c r="G1168" s="243"/>
    </row>
    <row r="1169" spans="1:7" ht="21" customHeight="1">
      <c r="A1169" s="245"/>
      <c r="B1169" s="240"/>
      <c r="C1169" s="532"/>
      <c r="D1169" s="533"/>
      <c r="F1169" s="241"/>
      <c r="G1169" s="243"/>
    </row>
    <row r="1170" spans="1:7" ht="21" customHeight="1">
      <c r="A1170" s="535"/>
      <c r="B1170" s="547"/>
      <c r="C1170" s="789"/>
      <c r="D1170" s="789"/>
      <c r="E1170" s="533"/>
      <c r="F1170" s="532"/>
      <c r="G1170" s="534"/>
    </row>
    <row r="1171" spans="1:7" ht="21" customHeight="1">
      <c r="A1171" s="535"/>
      <c r="B1171" s="547"/>
      <c r="C1171" s="794"/>
      <c r="D1171" s="794"/>
      <c r="E1171" s="533"/>
      <c r="F1171" s="532"/>
      <c r="G1171" s="534"/>
    </row>
    <row r="1172" spans="1:7" ht="21" customHeight="1">
      <c r="A1172" s="535"/>
      <c r="B1172" s="547"/>
      <c r="C1172" s="531"/>
      <c r="D1172" s="536"/>
      <c r="E1172" s="533"/>
      <c r="F1172" s="537"/>
      <c r="G1172" s="534"/>
    </row>
    <row r="1173" spans="1:7" ht="21" customHeight="1">
      <c r="A1173" s="535"/>
      <c r="B1173" s="547"/>
      <c r="C1173" s="531"/>
      <c r="D1173" s="538"/>
      <c r="E1173" s="533"/>
      <c r="F1173" s="532"/>
      <c r="G1173" s="534"/>
    </row>
    <row r="1174" spans="1:7" ht="21" customHeight="1">
      <c r="A1174" s="535"/>
      <c r="B1174" s="547"/>
      <c r="C1174" s="789"/>
      <c r="D1174" s="789"/>
      <c r="E1174" s="533"/>
      <c r="F1174" s="532"/>
      <c r="G1174" s="534"/>
    </row>
    <row r="1175" spans="1:7" ht="21" customHeight="1">
      <c r="A1175" s="535"/>
      <c r="B1175" s="547"/>
      <c r="C1175" s="789"/>
      <c r="D1175" s="789"/>
      <c r="E1175" s="539"/>
      <c r="F1175" s="532"/>
      <c r="G1175" s="534"/>
    </row>
    <row r="1176" spans="1:7" ht="21" customHeight="1">
      <c r="A1176" s="535"/>
      <c r="B1176" s="547"/>
      <c r="C1176" s="789"/>
      <c r="D1176" s="789"/>
      <c r="E1176" s="533"/>
      <c r="F1176" s="532"/>
      <c r="G1176" s="534"/>
    </row>
    <row r="1177" spans="1:7" ht="21" customHeight="1">
      <c r="A1177" s="535"/>
      <c r="B1177" s="547"/>
      <c r="C1177" s="789"/>
      <c r="D1177" s="789"/>
      <c r="E1177" s="539"/>
      <c r="F1177" s="532"/>
      <c r="G1177" s="534"/>
    </row>
    <row r="1178" spans="1:7" ht="21" customHeight="1">
      <c r="A1178" s="535"/>
      <c r="B1178" s="547"/>
      <c r="C1178" s="789"/>
      <c r="D1178" s="789"/>
      <c r="E1178" s="539"/>
      <c r="F1178" s="532"/>
      <c r="G1178" s="534"/>
    </row>
    <row r="1179" spans="1:7" ht="21" customHeight="1" thickBot="1">
      <c r="A1179" s="251"/>
      <c r="B1179" s="496"/>
      <c r="C1179" s="648"/>
      <c r="D1179" s="252"/>
      <c r="E1179" s="593"/>
      <c r="F1179" s="252"/>
      <c r="G1179" s="253"/>
    </row>
    <row r="1180" spans="1:7" ht="21" customHeight="1">
      <c r="A1180" s="260"/>
      <c r="B1180" s="260"/>
      <c r="C1180" s="601"/>
      <c r="D1180" s="261"/>
      <c r="E1180" s="597"/>
      <c r="F1180" s="261"/>
      <c r="G1180" s="262"/>
    </row>
    <row r="1181" spans="1:7" ht="21" customHeight="1">
      <c r="A1181" s="254"/>
      <c r="B1181" s="254"/>
      <c r="C1181" s="159"/>
      <c r="D1181" s="171"/>
      <c r="E1181" s="539" t="s">
        <v>265</v>
      </c>
      <c r="F1181" s="159"/>
      <c r="G1181" s="171"/>
    </row>
    <row r="1182" spans="1:7" ht="21" customHeight="1">
      <c r="A1182" s="254"/>
      <c r="B1182" s="254"/>
      <c r="C1182" s="159"/>
      <c r="D1182" s="171"/>
      <c r="E1182" s="760" t="s">
        <v>169</v>
      </c>
      <c r="F1182" s="760"/>
      <c r="G1182" s="171"/>
    </row>
    <row r="1183" spans="1:7" ht="21" customHeight="1">
      <c r="A1183" s="254"/>
      <c r="B1183" s="254"/>
      <c r="C1183" s="159"/>
      <c r="D1183" s="760" t="s">
        <v>377</v>
      </c>
      <c r="E1183" s="760"/>
      <c r="F1183" s="760"/>
      <c r="G1183" s="760"/>
    </row>
    <row r="1184" spans="1:7" ht="21" customHeight="1">
      <c r="A1184" s="254"/>
      <c r="B1184" s="254"/>
      <c r="C1184" s="159"/>
      <c r="D1184" s="171"/>
      <c r="E1184" s="533"/>
      <c r="F1184" s="171"/>
      <c r="G1184" s="171"/>
    </row>
    <row r="1185" spans="1:7" ht="21" customHeight="1">
      <c r="A1185" s="254"/>
      <c r="B1185" s="254"/>
      <c r="C1185" s="159"/>
      <c r="D1185" s="171"/>
      <c r="E1185" s="792" t="s">
        <v>264</v>
      </c>
      <c r="F1185" s="792"/>
      <c r="G1185" s="171"/>
    </row>
    <row r="1186" spans="1:7" ht="21" customHeight="1">
      <c r="A1186" s="254"/>
      <c r="B1186" s="254"/>
      <c r="C1186" s="159"/>
      <c r="D1186" s="256"/>
      <c r="E1186" s="533"/>
      <c r="F1186" s="255"/>
      <c r="G1186" s="171"/>
    </row>
    <row r="1187" spans="1:7" ht="21" customHeight="1">
      <c r="A1187" s="254"/>
      <c r="B1187" s="254"/>
      <c r="C1187" s="159"/>
      <c r="D1187" s="171"/>
      <c r="E1187" s="539" t="s">
        <v>266</v>
      </c>
      <c r="F1187" s="159"/>
      <c r="G1187" s="171"/>
    </row>
    <row r="1188" spans="1:7" ht="21" customHeight="1">
      <c r="A1188" s="254"/>
      <c r="B1188" s="254"/>
      <c r="C1188" s="257"/>
      <c r="D1188" s="171"/>
      <c r="E1188" s="790" t="s">
        <v>402</v>
      </c>
      <c r="F1188" s="790"/>
      <c r="G1188" s="171"/>
    </row>
    <row r="1189" spans="1:7" ht="21" customHeight="1">
      <c r="A1189" s="254"/>
      <c r="B1189" s="254"/>
      <c r="C1189" s="240"/>
      <c r="D1189" s="793" t="s">
        <v>515</v>
      </c>
      <c r="E1189" s="793"/>
      <c r="F1189" s="793"/>
      <c r="G1189" s="793"/>
    </row>
    <row r="1192" spans="6:7" ht="21" customHeight="1">
      <c r="F1192" s="780" t="s">
        <v>516</v>
      </c>
      <c r="G1192" s="780"/>
    </row>
    <row r="1193" spans="5:7" ht="21" customHeight="1">
      <c r="E1193" s="746" t="s">
        <v>451</v>
      </c>
      <c r="F1193" s="746"/>
      <c r="G1193" s="746"/>
    </row>
    <row r="1194" spans="1:7" ht="21" customHeight="1">
      <c r="A1194" s="744" t="s">
        <v>89</v>
      </c>
      <c r="B1194" s="744"/>
      <c r="C1194" s="744"/>
      <c r="D1194" s="744"/>
      <c r="E1194" s="744"/>
      <c r="F1194" s="744"/>
      <c r="G1194" s="744"/>
    </row>
    <row r="1195" spans="1:4" ht="21" customHeight="1" thickBot="1">
      <c r="A1195" s="174" t="s">
        <v>121</v>
      </c>
      <c r="B1195" s="174"/>
      <c r="C1195" s="174"/>
      <c r="D1195" s="223"/>
    </row>
    <row r="1196" spans="1:7" ht="21" customHeight="1" thickBot="1">
      <c r="A1196" s="769" t="s">
        <v>52</v>
      </c>
      <c r="B1196" s="781"/>
      <c r="C1196" s="781"/>
      <c r="D1196" s="782"/>
      <c r="E1196" s="588" t="s">
        <v>47</v>
      </c>
      <c r="F1196" s="225" t="s">
        <v>9</v>
      </c>
      <c r="G1196" s="226" t="s">
        <v>10</v>
      </c>
    </row>
    <row r="1197" spans="1:7" ht="21" customHeight="1">
      <c r="A1197" s="185" t="s">
        <v>545</v>
      </c>
      <c r="B1197" s="186"/>
      <c r="C1197" s="186"/>
      <c r="D1197" s="186"/>
      <c r="E1197" s="589" t="s">
        <v>546</v>
      </c>
      <c r="F1197" s="605">
        <v>320278.25</v>
      </c>
      <c r="G1197" s="228"/>
    </row>
    <row r="1198" spans="1:7" ht="21" customHeight="1">
      <c r="A1198" s="185" t="s">
        <v>517</v>
      </c>
      <c r="B1198" s="186"/>
      <c r="C1198" s="186"/>
      <c r="D1198" s="603"/>
      <c r="E1198" s="604" t="s">
        <v>547</v>
      </c>
      <c r="F1198" s="234">
        <v>8287.9</v>
      </c>
      <c r="G1198" s="231"/>
    </row>
    <row r="1199" spans="1:7" ht="21" customHeight="1">
      <c r="A1199" s="185" t="s">
        <v>518</v>
      </c>
      <c r="B1199" s="186"/>
      <c r="C1199" s="186"/>
      <c r="D1199" s="603"/>
      <c r="E1199" s="604" t="s">
        <v>548</v>
      </c>
      <c r="F1199" s="404">
        <v>338878</v>
      </c>
      <c r="G1199" s="606"/>
    </row>
    <row r="1200" spans="1:7" ht="21" customHeight="1">
      <c r="A1200" s="185" t="s">
        <v>520</v>
      </c>
      <c r="B1200" s="186"/>
      <c r="C1200" s="186"/>
      <c r="D1200" s="603"/>
      <c r="E1200" s="607">
        <v>412106</v>
      </c>
      <c r="F1200" s="404">
        <v>3393</v>
      </c>
      <c r="G1200" s="606"/>
    </row>
    <row r="1201" spans="1:7" ht="21" customHeight="1">
      <c r="A1201" s="185" t="s">
        <v>519</v>
      </c>
      <c r="B1201" s="186"/>
      <c r="C1201" s="186"/>
      <c r="D1201" s="608"/>
      <c r="E1201" s="609">
        <v>412107</v>
      </c>
      <c r="F1201" s="404">
        <v>288200</v>
      </c>
      <c r="G1201" s="606"/>
    </row>
    <row r="1202" spans="1:7" ht="21" customHeight="1">
      <c r="A1202" s="185" t="s">
        <v>521</v>
      </c>
      <c r="B1202" s="186"/>
      <c r="C1202" s="186"/>
      <c r="D1202" s="608"/>
      <c r="E1202" s="610">
        <v>412112</v>
      </c>
      <c r="F1202" s="404">
        <v>720</v>
      </c>
      <c r="G1202" s="606"/>
    </row>
    <row r="1203" spans="1:7" ht="21" customHeight="1">
      <c r="A1203" s="638" t="s">
        <v>522</v>
      </c>
      <c r="B1203" s="639"/>
      <c r="C1203" s="639"/>
      <c r="D1203" s="613"/>
      <c r="E1203" s="610">
        <v>412128</v>
      </c>
      <c r="F1203" s="658">
        <v>320</v>
      </c>
      <c r="G1203" s="606"/>
    </row>
    <row r="1204" spans="1:7" ht="21" customHeight="1">
      <c r="A1204" s="638" t="s">
        <v>523</v>
      </c>
      <c r="B1204" s="639"/>
      <c r="C1204" s="639"/>
      <c r="D1204" s="613"/>
      <c r="E1204" s="610">
        <v>412202</v>
      </c>
      <c r="F1204" s="658">
        <v>231150</v>
      </c>
      <c r="G1204" s="606"/>
    </row>
    <row r="1205" spans="1:7" ht="21" customHeight="1">
      <c r="A1205" s="638" t="s">
        <v>524</v>
      </c>
      <c r="B1205" s="639"/>
      <c r="C1205" s="639"/>
      <c r="D1205" s="613"/>
      <c r="E1205" s="646">
        <v>412207</v>
      </c>
      <c r="F1205" s="658">
        <v>678</v>
      </c>
      <c r="G1205" s="606"/>
    </row>
    <row r="1206" spans="1:7" ht="21" customHeight="1">
      <c r="A1206" s="640" t="s">
        <v>525</v>
      </c>
      <c r="B1206" s="641"/>
      <c r="C1206" s="641"/>
      <c r="D1206" s="642"/>
      <c r="E1206" s="646">
        <v>412305</v>
      </c>
      <c r="F1206" s="658">
        <v>300</v>
      </c>
      <c r="G1206" s="606"/>
    </row>
    <row r="1207" spans="1:7" ht="21" customHeight="1">
      <c r="A1207" s="640" t="s">
        <v>526</v>
      </c>
      <c r="B1207" s="641"/>
      <c r="C1207" s="641"/>
      <c r="D1207" s="642"/>
      <c r="E1207" s="646">
        <v>412307</v>
      </c>
      <c r="F1207" s="658">
        <v>2702</v>
      </c>
      <c r="G1207" s="606"/>
    </row>
    <row r="1208" spans="1:7" ht="21" customHeight="1">
      <c r="A1208" s="640" t="s">
        <v>527</v>
      </c>
      <c r="B1208" s="641"/>
      <c r="C1208" s="641"/>
      <c r="D1208" s="642"/>
      <c r="E1208" s="646">
        <v>412303</v>
      </c>
      <c r="F1208" s="658">
        <v>19350</v>
      </c>
      <c r="G1208" s="606"/>
    </row>
    <row r="1209" spans="1:7" ht="21" customHeight="1">
      <c r="A1209" s="640" t="s">
        <v>528</v>
      </c>
      <c r="B1209" s="641"/>
      <c r="C1209" s="641"/>
      <c r="D1209" s="642"/>
      <c r="E1209" s="646">
        <v>412304</v>
      </c>
      <c r="F1209" s="658">
        <v>5700</v>
      </c>
      <c r="G1209" s="606"/>
    </row>
    <row r="1210" spans="1:7" ht="21" customHeight="1">
      <c r="A1210" s="640" t="s">
        <v>529</v>
      </c>
      <c r="B1210" s="641"/>
      <c r="C1210" s="641"/>
      <c r="D1210" s="642"/>
      <c r="E1210" s="646">
        <v>412308</v>
      </c>
      <c r="F1210" s="658">
        <v>220</v>
      </c>
      <c r="G1210" s="606"/>
    </row>
    <row r="1211" spans="1:7" ht="21" customHeight="1">
      <c r="A1211" s="640" t="s">
        <v>549</v>
      </c>
      <c r="B1211" s="641"/>
      <c r="C1211" s="641"/>
      <c r="D1211" s="642"/>
      <c r="E1211" s="646">
        <v>412399</v>
      </c>
      <c r="F1211" s="658">
        <v>1100</v>
      </c>
      <c r="G1211" s="606"/>
    </row>
    <row r="1212" spans="1:7" ht="21" customHeight="1">
      <c r="A1212" s="640" t="s">
        <v>530</v>
      </c>
      <c r="B1212" s="641"/>
      <c r="C1212" s="641"/>
      <c r="D1212" s="642"/>
      <c r="E1212" s="646">
        <v>412399</v>
      </c>
      <c r="F1212" s="658">
        <v>220</v>
      </c>
      <c r="G1212" s="606"/>
    </row>
    <row r="1213" spans="1:7" ht="21" customHeight="1">
      <c r="A1213" s="640" t="s">
        <v>531</v>
      </c>
      <c r="B1213" s="641"/>
      <c r="C1213" s="641"/>
      <c r="D1213" s="642"/>
      <c r="E1213" s="646">
        <v>412210</v>
      </c>
      <c r="F1213" s="658">
        <v>35302.5</v>
      </c>
      <c r="G1213" s="606"/>
    </row>
    <row r="1214" spans="1:7" ht="21" customHeight="1">
      <c r="A1214" s="640" t="s">
        <v>550</v>
      </c>
      <c r="B1214" s="641"/>
      <c r="C1214" s="641"/>
      <c r="D1214" s="642"/>
      <c r="E1214" s="646">
        <v>412210</v>
      </c>
      <c r="F1214" s="658">
        <v>10400</v>
      </c>
      <c r="G1214" s="606"/>
    </row>
    <row r="1215" spans="1:7" ht="21" customHeight="1">
      <c r="A1215" s="640" t="s">
        <v>532</v>
      </c>
      <c r="B1215" s="641"/>
      <c r="C1215" s="641"/>
      <c r="D1215" s="642"/>
      <c r="E1215" s="646">
        <v>412399</v>
      </c>
      <c r="F1215" s="658">
        <v>6240</v>
      </c>
      <c r="G1215" s="606"/>
    </row>
    <row r="1216" spans="1:7" ht="21" customHeight="1">
      <c r="A1216" s="640" t="s">
        <v>533</v>
      </c>
      <c r="B1216" s="641"/>
      <c r="C1216" s="641"/>
      <c r="D1216" s="642"/>
      <c r="E1216" s="646">
        <v>412013</v>
      </c>
      <c r="F1216" s="658">
        <v>2134</v>
      </c>
      <c r="G1216" s="606"/>
    </row>
    <row r="1217" spans="1:7" ht="21" customHeight="1">
      <c r="A1217" s="640" t="s">
        <v>534</v>
      </c>
      <c r="B1217" s="641"/>
      <c r="C1217" s="641"/>
      <c r="D1217" s="642"/>
      <c r="E1217" s="646">
        <v>412108</v>
      </c>
      <c r="F1217" s="658">
        <v>15000</v>
      </c>
      <c r="G1217" s="606"/>
    </row>
    <row r="1218" spans="1:7" ht="21" customHeight="1">
      <c r="A1218" s="640" t="s">
        <v>535</v>
      </c>
      <c r="B1218" s="641"/>
      <c r="C1218" s="641"/>
      <c r="D1218" s="642"/>
      <c r="E1218" s="646">
        <v>413002</v>
      </c>
      <c r="F1218" s="658">
        <v>391450</v>
      </c>
      <c r="G1218" s="606"/>
    </row>
    <row r="1219" spans="1:7" ht="21" customHeight="1">
      <c r="A1219" s="640" t="s">
        <v>536</v>
      </c>
      <c r="B1219" s="641"/>
      <c r="C1219" s="641"/>
      <c r="D1219" s="642"/>
      <c r="E1219" s="646">
        <v>413003</v>
      </c>
      <c r="F1219" s="658">
        <f>247423.2+44727.87</f>
        <v>292151.07</v>
      </c>
      <c r="G1219" s="606"/>
    </row>
    <row r="1220" spans="1:7" ht="21" customHeight="1">
      <c r="A1220" s="640" t="s">
        <v>537</v>
      </c>
      <c r="B1220" s="641"/>
      <c r="C1220" s="641"/>
      <c r="D1220" s="642"/>
      <c r="E1220" s="646">
        <v>415004</v>
      </c>
      <c r="F1220" s="658">
        <v>61000</v>
      </c>
      <c r="G1220" s="606"/>
    </row>
    <row r="1221" spans="1:7" ht="21" customHeight="1">
      <c r="A1221" s="640" t="s">
        <v>538</v>
      </c>
      <c r="B1221" s="641"/>
      <c r="C1221" s="641"/>
      <c r="D1221" s="642"/>
      <c r="E1221" s="646">
        <v>415006</v>
      </c>
      <c r="F1221" s="658">
        <v>496</v>
      </c>
      <c r="G1221" s="606"/>
    </row>
    <row r="1222" spans="1:7" ht="21" customHeight="1">
      <c r="A1222" s="640" t="s">
        <v>539</v>
      </c>
      <c r="B1222" s="641"/>
      <c r="C1222" s="645"/>
      <c r="D1222" s="642"/>
      <c r="E1222" s="646">
        <v>415999</v>
      </c>
      <c r="F1222" s="658">
        <v>163331.92</v>
      </c>
      <c r="G1222" s="606"/>
    </row>
    <row r="1223" spans="1:7" ht="21" customHeight="1">
      <c r="A1223" s="640" t="s">
        <v>540</v>
      </c>
      <c r="B1223" s="641"/>
      <c r="C1223" s="645"/>
      <c r="D1223" s="642"/>
      <c r="E1223" s="646">
        <v>421002</v>
      </c>
      <c r="F1223" s="658">
        <v>14251644.01</v>
      </c>
      <c r="G1223" s="606"/>
    </row>
    <row r="1224" spans="1:7" ht="21" customHeight="1">
      <c r="A1224" s="640" t="s">
        <v>415</v>
      </c>
      <c r="B1224" s="641"/>
      <c r="C1224" s="645"/>
      <c r="D1224" s="642"/>
      <c r="E1224" s="646">
        <v>421004</v>
      </c>
      <c r="F1224" s="658">
        <v>1608791.14</v>
      </c>
      <c r="G1224" s="606"/>
    </row>
    <row r="1225" spans="1:7" ht="21" customHeight="1">
      <c r="A1225" s="640" t="s">
        <v>399</v>
      </c>
      <c r="B1225" s="641"/>
      <c r="C1225" s="645"/>
      <c r="D1225" s="642"/>
      <c r="E1225" s="646">
        <v>421005</v>
      </c>
      <c r="F1225" s="658">
        <v>96345.92</v>
      </c>
      <c r="G1225" s="606"/>
    </row>
    <row r="1226" spans="1:7" ht="21" customHeight="1">
      <c r="A1226" s="640" t="s">
        <v>416</v>
      </c>
      <c r="B1226" s="641"/>
      <c r="C1226" s="645"/>
      <c r="D1226" s="642"/>
      <c r="E1226" s="646">
        <v>421006</v>
      </c>
      <c r="F1226" s="658">
        <v>741740.03</v>
      </c>
      <c r="G1226" s="606"/>
    </row>
    <row r="1227" spans="1:7" ht="21" customHeight="1">
      <c r="A1227" s="640" t="s">
        <v>417</v>
      </c>
      <c r="B1227" s="641"/>
      <c r="C1227" s="645"/>
      <c r="D1227" s="642"/>
      <c r="E1227" s="646">
        <v>421007</v>
      </c>
      <c r="F1227" s="658">
        <v>1595488.95</v>
      </c>
      <c r="G1227" s="606"/>
    </row>
    <row r="1228" spans="1:7" ht="21" customHeight="1">
      <c r="A1228" s="640" t="s">
        <v>541</v>
      </c>
      <c r="B1228" s="641"/>
      <c r="C1228" s="645"/>
      <c r="D1228" s="642"/>
      <c r="E1228" s="646">
        <v>421012</v>
      </c>
      <c r="F1228" s="658">
        <v>40883.29</v>
      </c>
      <c r="G1228" s="606"/>
    </row>
    <row r="1229" spans="1:7" ht="21" customHeight="1">
      <c r="A1229" s="640" t="s">
        <v>542</v>
      </c>
      <c r="B1229" s="641"/>
      <c r="C1229" s="645"/>
      <c r="D1229" s="642"/>
      <c r="E1229" s="646">
        <v>421013</v>
      </c>
      <c r="F1229" s="658">
        <v>25288.94</v>
      </c>
      <c r="G1229" s="606"/>
    </row>
    <row r="1230" spans="1:7" ht="21" customHeight="1">
      <c r="A1230" s="663" t="s">
        <v>543</v>
      </c>
      <c r="B1230" s="664"/>
      <c r="C1230" s="236"/>
      <c r="D1230" s="237"/>
      <c r="E1230" s="665">
        <v>421015</v>
      </c>
      <c r="F1230" s="666">
        <v>567735</v>
      </c>
      <c r="G1230" s="667"/>
    </row>
    <row r="1231" spans="1:7" ht="21" customHeight="1">
      <c r="A1231" s="530" t="s">
        <v>412</v>
      </c>
      <c r="B1231" s="539"/>
      <c r="C1231" s="546"/>
      <c r="D1231" s="659"/>
      <c r="E1231" s="660">
        <v>421001</v>
      </c>
      <c r="F1231" s="661">
        <v>891405.65</v>
      </c>
      <c r="G1231" s="662"/>
    </row>
    <row r="1232" spans="1:9" ht="21" customHeight="1">
      <c r="A1232" s="640" t="s">
        <v>557</v>
      </c>
      <c r="B1232" s="641"/>
      <c r="C1232" s="645"/>
      <c r="D1232" s="642"/>
      <c r="E1232" s="646">
        <v>431002</v>
      </c>
      <c r="F1232" s="658">
        <v>13021461</v>
      </c>
      <c r="G1232" s="606"/>
      <c r="I1232" s="184">
        <f>SUM(F1197:F1222)</f>
        <v>2199002.64</v>
      </c>
    </row>
    <row r="1233" spans="1:7" ht="21" customHeight="1">
      <c r="A1233" s="668" t="s">
        <v>558</v>
      </c>
      <c r="B1233" s="641"/>
      <c r="C1233" s="645"/>
      <c r="D1233" s="642"/>
      <c r="E1233" s="646">
        <v>431002</v>
      </c>
      <c r="F1233" s="658">
        <v>6782447</v>
      </c>
      <c r="G1233" s="606"/>
    </row>
    <row r="1234" spans="1:7" ht="21" customHeight="1">
      <c r="A1234" s="640" t="s">
        <v>559</v>
      </c>
      <c r="B1234" s="641"/>
      <c r="C1234" s="645"/>
      <c r="D1234" s="642"/>
      <c r="E1234" s="646">
        <v>431004</v>
      </c>
      <c r="F1234" s="658">
        <v>183500</v>
      </c>
      <c r="G1234" s="606"/>
    </row>
    <row r="1235" spans="1:9" ht="21" customHeight="1">
      <c r="A1235" s="640" t="s">
        <v>560</v>
      </c>
      <c r="B1235" s="641"/>
      <c r="C1235" s="645"/>
      <c r="D1235" s="642"/>
      <c r="E1235" s="646">
        <v>431004</v>
      </c>
      <c r="F1235" s="658">
        <v>95559</v>
      </c>
      <c r="G1235" s="606"/>
      <c r="I1235" s="184">
        <f>SUM(F1234:F1243)</f>
        <v>5689069</v>
      </c>
    </row>
    <row r="1236" spans="1:9" ht="21" customHeight="1">
      <c r="A1236" s="638" t="s">
        <v>561</v>
      </c>
      <c r="B1236" s="639"/>
      <c r="C1236" s="612"/>
      <c r="D1236" s="613"/>
      <c r="E1236" s="646">
        <v>431004</v>
      </c>
      <c r="F1236" s="658">
        <v>27510</v>
      </c>
      <c r="G1236" s="606"/>
      <c r="I1236" s="184">
        <f>SUM(F1223:F1231)</f>
        <v>19819322.93</v>
      </c>
    </row>
    <row r="1237" spans="1:7" ht="21" customHeight="1">
      <c r="A1237" s="638" t="s">
        <v>562</v>
      </c>
      <c r="B1237" s="639"/>
      <c r="C1237" s="612"/>
      <c r="D1237" s="613"/>
      <c r="E1237" s="646">
        <v>431004</v>
      </c>
      <c r="F1237" s="658">
        <v>4361100</v>
      </c>
      <c r="G1237" s="606"/>
    </row>
    <row r="1238" spans="1:7" ht="21" customHeight="1">
      <c r="A1238" s="638" t="s">
        <v>563</v>
      </c>
      <c r="B1238" s="639"/>
      <c r="C1238" s="612"/>
      <c r="D1238" s="613"/>
      <c r="E1238" s="646">
        <v>431004</v>
      </c>
      <c r="F1238" s="658">
        <v>784800</v>
      </c>
      <c r="G1238" s="606"/>
    </row>
    <row r="1239" spans="1:7" ht="21" customHeight="1">
      <c r="A1239" s="638" t="s">
        <v>564</v>
      </c>
      <c r="B1239" s="639"/>
      <c r="C1239" s="612"/>
      <c r="D1239" s="613"/>
      <c r="E1239" s="646">
        <v>431004</v>
      </c>
      <c r="F1239" s="658">
        <v>6000</v>
      </c>
      <c r="G1239" s="606"/>
    </row>
    <row r="1240" spans="1:7" ht="21" customHeight="1">
      <c r="A1240" s="638" t="s">
        <v>565</v>
      </c>
      <c r="B1240" s="639"/>
      <c r="C1240" s="612"/>
      <c r="D1240" s="613"/>
      <c r="E1240" s="646">
        <v>431004</v>
      </c>
      <c r="F1240" s="658">
        <v>120000</v>
      </c>
      <c r="G1240" s="606"/>
    </row>
    <row r="1241" spans="1:7" ht="21" customHeight="1">
      <c r="A1241" s="638" t="s">
        <v>566</v>
      </c>
      <c r="B1241" s="639"/>
      <c r="C1241" s="612"/>
      <c r="D1241" s="613"/>
      <c r="E1241" s="646">
        <v>431004</v>
      </c>
      <c r="F1241" s="658">
        <v>19500</v>
      </c>
      <c r="G1241" s="606"/>
    </row>
    <row r="1242" spans="1:7" ht="21" customHeight="1">
      <c r="A1242" s="638" t="s">
        <v>567</v>
      </c>
      <c r="B1242" s="639"/>
      <c r="C1242" s="612"/>
      <c r="D1242" s="613"/>
      <c r="E1242" s="646">
        <v>431004</v>
      </c>
      <c r="F1242" s="658">
        <v>56100</v>
      </c>
      <c r="G1242" s="606"/>
    </row>
    <row r="1243" spans="1:7" ht="21" customHeight="1">
      <c r="A1243" s="638" t="s">
        <v>568</v>
      </c>
      <c r="B1243" s="639"/>
      <c r="C1243" s="612"/>
      <c r="D1243" s="613"/>
      <c r="E1243" s="646">
        <v>431004</v>
      </c>
      <c r="F1243" s="658">
        <v>35000</v>
      </c>
      <c r="G1243" s="606"/>
    </row>
    <row r="1244" spans="1:7" ht="21" customHeight="1">
      <c r="A1244" s="640" t="s">
        <v>544</v>
      </c>
      <c r="B1244" s="539"/>
      <c r="C1244" s="546"/>
      <c r="D1244" s="659"/>
      <c r="E1244" s="647">
        <v>441002</v>
      </c>
      <c r="F1244" s="669">
        <v>1983000</v>
      </c>
      <c r="G1244" s="644"/>
    </row>
    <row r="1245" spans="1:7" ht="21" customHeight="1">
      <c r="A1245" s="638"/>
      <c r="B1245" s="639" t="s">
        <v>88</v>
      </c>
      <c r="C1245" s="612"/>
      <c r="D1245" s="613"/>
      <c r="E1245" s="610">
        <v>400000</v>
      </c>
      <c r="F1245" s="614"/>
      <c r="G1245" s="606">
        <f>SUM(F1197:F1244)</f>
        <v>49494302.57</v>
      </c>
    </row>
    <row r="1246" spans="1:7" ht="21" customHeight="1" thickBot="1">
      <c r="A1246" s="670"/>
      <c r="B1246" s="671"/>
      <c r="C1246" s="671"/>
      <c r="D1246" s="672"/>
      <c r="E1246" s="673"/>
      <c r="F1246" s="674">
        <f>SUM(F1197:F1245)</f>
        <v>49494302.57</v>
      </c>
      <c r="G1246" s="675">
        <f>G1245</f>
        <v>49494302.57</v>
      </c>
    </row>
    <row r="1247" spans="1:7" ht="21" customHeight="1" thickBot="1" thickTop="1">
      <c r="A1247" s="158" t="s">
        <v>90</v>
      </c>
      <c r="B1247" s="649" t="s">
        <v>553</v>
      </c>
      <c r="C1247" s="650"/>
      <c r="D1247" s="651"/>
      <c r="E1247" s="652"/>
      <c r="F1247" s="653"/>
      <c r="G1247" s="654"/>
    </row>
    <row r="1248" spans="1:7" ht="21" customHeight="1">
      <c r="A1248" s="260"/>
      <c r="B1248" s="260"/>
      <c r="C1248" s="601"/>
      <c r="D1248" s="261"/>
      <c r="E1248" s="597"/>
      <c r="F1248" s="261"/>
      <c r="G1248" s="262"/>
    </row>
    <row r="1249" spans="1:7" ht="21" customHeight="1">
      <c r="A1249" s="254"/>
      <c r="B1249" s="254"/>
      <c r="C1249" s="159"/>
      <c r="D1249" s="171"/>
      <c r="E1249" s="539" t="s">
        <v>265</v>
      </c>
      <c r="F1249" s="159"/>
      <c r="G1249" s="171"/>
    </row>
    <row r="1250" spans="1:7" ht="21" customHeight="1">
      <c r="A1250" s="254"/>
      <c r="B1250" s="254"/>
      <c r="C1250" s="159"/>
      <c r="D1250" s="171"/>
      <c r="E1250" s="760" t="s">
        <v>169</v>
      </c>
      <c r="F1250" s="760"/>
      <c r="G1250" s="171"/>
    </row>
    <row r="1251" spans="1:7" ht="21" customHeight="1">
      <c r="A1251" s="254"/>
      <c r="B1251" s="254"/>
      <c r="C1251" s="159"/>
      <c r="D1251" s="760" t="s">
        <v>377</v>
      </c>
      <c r="E1251" s="760"/>
      <c r="F1251" s="760"/>
      <c r="G1251" s="760"/>
    </row>
    <row r="1252" spans="1:7" ht="21" customHeight="1">
      <c r="A1252" s="254"/>
      <c r="B1252" s="254"/>
      <c r="C1252" s="159"/>
      <c r="D1252" s="171"/>
      <c r="E1252" s="533"/>
      <c r="F1252" s="171"/>
      <c r="G1252" s="171"/>
    </row>
    <row r="1253" spans="1:7" ht="21" customHeight="1">
      <c r="A1253" s="254"/>
      <c r="B1253" s="254"/>
      <c r="C1253" s="159"/>
      <c r="D1253" s="171"/>
      <c r="E1253" s="792" t="s">
        <v>264</v>
      </c>
      <c r="F1253" s="792"/>
      <c r="G1253" s="171"/>
    </row>
    <row r="1254" spans="1:7" ht="21" customHeight="1">
      <c r="A1254" s="254"/>
      <c r="B1254" s="254"/>
      <c r="C1254" s="159"/>
      <c r="D1254" s="256"/>
      <c r="E1254" s="533"/>
      <c r="F1254" s="255"/>
      <c r="G1254" s="171"/>
    </row>
    <row r="1255" spans="1:7" ht="21" customHeight="1">
      <c r="A1255" s="254"/>
      <c r="B1255" s="254"/>
      <c r="C1255" s="159"/>
      <c r="D1255" s="171"/>
      <c r="E1255" s="539" t="s">
        <v>266</v>
      </c>
      <c r="F1255" s="159"/>
      <c r="G1255" s="171"/>
    </row>
    <row r="1256" spans="1:7" ht="21" customHeight="1">
      <c r="A1256" s="254"/>
      <c r="B1256" s="254"/>
      <c r="C1256" s="257"/>
      <c r="D1256" s="171"/>
      <c r="E1256" s="790" t="s">
        <v>402</v>
      </c>
      <c r="F1256" s="790"/>
      <c r="G1256" s="171"/>
    </row>
    <row r="1257" spans="1:7" ht="21" customHeight="1">
      <c r="A1257" s="254"/>
      <c r="B1257" s="254"/>
      <c r="C1257" s="240"/>
      <c r="D1257" s="793" t="s">
        <v>515</v>
      </c>
      <c r="E1257" s="793"/>
      <c r="F1257" s="793"/>
      <c r="G1257" s="793"/>
    </row>
    <row r="1270" spans="6:7" ht="21" customHeight="1">
      <c r="F1270" s="780" t="s">
        <v>555</v>
      </c>
      <c r="G1270" s="780"/>
    </row>
    <row r="1271" spans="5:7" ht="21" customHeight="1">
      <c r="E1271" s="746" t="s">
        <v>451</v>
      </c>
      <c r="F1271" s="746"/>
      <c r="G1271" s="746"/>
    </row>
    <row r="1272" spans="1:7" ht="21" customHeight="1">
      <c r="A1272" s="744" t="s">
        <v>89</v>
      </c>
      <c r="B1272" s="744"/>
      <c r="C1272" s="744"/>
      <c r="D1272" s="744"/>
      <c r="E1272" s="744"/>
      <c r="F1272" s="744"/>
      <c r="G1272" s="744"/>
    </row>
    <row r="1273" spans="1:4" ht="21" customHeight="1" thickBot="1">
      <c r="A1273" s="174" t="s">
        <v>121</v>
      </c>
      <c r="B1273" s="174"/>
      <c r="C1273" s="174"/>
      <c r="D1273" s="223"/>
    </row>
    <row r="1274" spans="1:7" ht="21" customHeight="1" thickBot="1">
      <c r="A1274" s="769" t="s">
        <v>52</v>
      </c>
      <c r="B1274" s="781"/>
      <c r="C1274" s="781"/>
      <c r="D1274" s="782"/>
      <c r="E1274" s="588" t="s">
        <v>47</v>
      </c>
      <c r="F1274" s="225" t="s">
        <v>9</v>
      </c>
      <c r="G1274" s="226" t="s">
        <v>10</v>
      </c>
    </row>
    <row r="1275" spans="1:7" ht="21" customHeight="1">
      <c r="A1275" s="185" t="s">
        <v>88</v>
      </c>
      <c r="B1275" s="186"/>
      <c r="C1275" s="186"/>
      <c r="D1275" s="186"/>
      <c r="E1275" s="589" t="s">
        <v>191</v>
      </c>
      <c r="F1275" s="605">
        <f>SUM(G1276:G1288)</f>
        <v>45144752.36</v>
      </c>
      <c r="G1275" s="228"/>
    </row>
    <row r="1276" spans="1:7" ht="21" customHeight="1">
      <c r="A1276" s="185"/>
      <c r="B1276" s="186" t="s">
        <v>45</v>
      </c>
      <c r="C1276" s="186"/>
      <c r="D1276" s="603"/>
      <c r="E1276" s="604" t="s">
        <v>253</v>
      </c>
      <c r="F1276" s="234"/>
      <c r="G1276" s="231">
        <f>'งบทดลอง '!C13</f>
        <v>7867939.47</v>
      </c>
    </row>
    <row r="1277" spans="1:7" ht="21" customHeight="1">
      <c r="A1277" s="185"/>
      <c r="B1277" s="186" t="s">
        <v>185</v>
      </c>
      <c r="C1277" s="186"/>
      <c r="D1277" s="603"/>
      <c r="E1277" s="604" t="s">
        <v>259</v>
      </c>
      <c r="F1277" s="404"/>
      <c r="G1277" s="231">
        <f>'งบทดลอง '!C15</f>
        <v>2405920</v>
      </c>
    </row>
    <row r="1278" spans="1:7" ht="21" customHeight="1">
      <c r="A1278" s="185"/>
      <c r="B1278" s="186" t="s">
        <v>551</v>
      </c>
      <c r="C1278" s="186"/>
      <c r="D1278" s="603"/>
      <c r="E1278" s="607">
        <v>522000</v>
      </c>
      <c r="F1278" s="404"/>
      <c r="G1278" s="231">
        <f>'งบทดลอง '!C16</f>
        <v>15450818.35</v>
      </c>
    </row>
    <row r="1279" spans="1:7" ht="21" customHeight="1">
      <c r="A1279" s="185"/>
      <c r="B1279" s="186" t="s">
        <v>0</v>
      </c>
      <c r="C1279" s="186"/>
      <c r="D1279" s="608"/>
      <c r="E1279" s="609">
        <v>531000</v>
      </c>
      <c r="F1279" s="404"/>
      <c r="G1279" s="231">
        <f>'งบทดลอง '!C17</f>
        <v>621370</v>
      </c>
    </row>
    <row r="1280" spans="1:7" ht="21" customHeight="1">
      <c r="A1280" s="185"/>
      <c r="B1280" s="186" t="s">
        <v>552</v>
      </c>
      <c r="C1280" s="186"/>
      <c r="D1280" s="608"/>
      <c r="E1280" s="610">
        <v>532000</v>
      </c>
      <c r="F1280" s="404"/>
      <c r="G1280" s="231">
        <f>'งบทดลอง '!C18</f>
        <v>6551436.0600000005</v>
      </c>
    </row>
    <row r="1281" spans="1:7" ht="21" customHeight="1">
      <c r="A1281" s="638"/>
      <c r="B1281" s="639" t="s">
        <v>2</v>
      </c>
      <c r="C1281" s="639"/>
      <c r="D1281" s="613"/>
      <c r="E1281" s="610">
        <v>533000</v>
      </c>
      <c r="F1281" s="614"/>
      <c r="G1281" s="231">
        <f>'งบทดลอง '!C19</f>
        <v>1686786.26</v>
      </c>
    </row>
    <row r="1282" spans="1:7" ht="21" customHeight="1">
      <c r="A1282" s="638"/>
      <c r="B1282" s="639" t="s">
        <v>3</v>
      </c>
      <c r="C1282" s="639"/>
      <c r="D1282" s="613"/>
      <c r="E1282" s="610">
        <v>534000</v>
      </c>
      <c r="F1282" s="614"/>
      <c r="G1282" s="231">
        <f>'งบทดลอง '!C20</f>
        <v>361525.51</v>
      </c>
    </row>
    <row r="1283" spans="1:7" ht="21" customHeight="1">
      <c r="A1283" s="638"/>
      <c r="B1283" s="639" t="s">
        <v>80</v>
      </c>
      <c r="C1283" s="639"/>
      <c r="D1283" s="613"/>
      <c r="E1283" s="646">
        <v>541000</v>
      </c>
      <c r="F1283" s="614"/>
      <c r="G1283" s="231">
        <v>349160</v>
      </c>
    </row>
    <row r="1284" spans="1:7" ht="21" customHeight="1">
      <c r="A1284" s="640"/>
      <c r="B1284" s="641" t="s">
        <v>5</v>
      </c>
      <c r="C1284" s="641"/>
      <c r="D1284" s="642"/>
      <c r="E1284" s="646">
        <v>542000</v>
      </c>
      <c r="F1284" s="614"/>
      <c r="G1284" s="231">
        <v>7965290</v>
      </c>
    </row>
    <row r="1285" spans="1:7" ht="21" customHeight="1">
      <c r="A1285" s="640"/>
      <c r="B1285" s="641" t="s">
        <v>39</v>
      </c>
      <c r="C1285" s="641"/>
      <c r="D1285" s="642"/>
      <c r="E1285" s="646">
        <v>551000</v>
      </c>
      <c r="F1285" s="614"/>
      <c r="G1285" s="231">
        <v>20000</v>
      </c>
    </row>
    <row r="1286" spans="1:7" ht="21" customHeight="1">
      <c r="A1286" s="640"/>
      <c r="B1286" s="641" t="s">
        <v>4</v>
      </c>
      <c r="C1286" s="641"/>
      <c r="D1286" s="642"/>
      <c r="E1286" s="647">
        <v>561000</v>
      </c>
      <c r="F1286" s="643"/>
      <c r="G1286" s="231">
        <v>1847891.58</v>
      </c>
    </row>
    <row r="1287" spans="1:7" ht="21" customHeight="1">
      <c r="A1287" s="640"/>
      <c r="B1287" s="641" t="s">
        <v>7</v>
      </c>
      <c r="C1287" s="641"/>
      <c r="D1287" s="642"/>
      <c r="E1287" s="647">
        <v>310000</v>
      </c>
      <c r="F1287" s="643"/>
      <c r="G1287" s="644">
        <v>12461.35</v>
      </c>
    </row>
    <row r="1288" spans="1:7" ht="21" customHeight="1">
      <c r="A1288" s="640"/>
      <c r="B1288" s="641" t="s">
        <v>556</v>
      </c>
      <c r="C1288" s="641"/>
      <c r="D1288" s="642"/>
      <c r="E1288" s="647">
        <v>320000</v>
      </c>
      <c r="F1288" s="643"/>
      <c r="G1288" s="644">
        <v>4153.78</v>
      </c>
    </row>
    <row r="1289" spans="1:7" ht="21" customHeight="1" thickBot="1">
      <c r="A1289" s="235"/>
      <c r="B1289" s="236"/>
      <c r="C1289" s="236"/>
      <c r="D1289" s="237"/>
      <c r="E1289" s="591"/>
      <c r="F1289" s="238">
        <f>SUM(F1275:F1288)</f>
        <v>45144752.36</v>
      </c>
      <c r="G1289" s="239">
        <f>SUM(G1276:G1288)</f>
        <v>45144752.36</v>
      </c>
    </row>
    <row r="1290" spans="1:9" ht="21" customHeight="1" thickBot="1" thickTop="1">
      <c r="A1290" s="158" t="s">
        <v>90</v>
      </c>
      <c r="B1290" s="649" t="s">
        <v>554</v>
      </c>
      <c r="C1290" s="650"/>
      <c r="D1290" s="651"/>
      <c r="E1290" s="652"/>
      <c r="F1290" s="655"/>
      <c r="G1290" s="654"/>
      <c r="H1290" s="656"/>
      <c r="I1290" s="657"/>
    </row>
    <row r="1291" spans="1:7" ht="21" customHeight="1">
      <c r="A1291" s="260"/>
      <c r="B1291" s="260"/>
      <c r="C1291" s="601"/>
      <c r="D1291" s="261"/>
      <c r="E1291" s="597"/>
      <c r="F1291" s="261"/>
      <c r="G1291" s="262"/>
    </row>
    <row r="1292" spans="1:7" ht="21" customHeight="1">
      <c r="A1292" s="254"/>
      <c r="B1292" s="254"/>
      <c r="C1292" s="159"/>
      <c r="D1292" s="171"/>
      <c r="E1292" s="539" t="s">
        <v>265</v>
      </c>
      <c r="F1292" s="159"/>
      <c r="G1292" s="171"/>
    </row>
    <row r="1293" spans="1:7" ht="21" customHeight="1">
      <c r="A1293" s="254"/>
      <c r="B1293" s="254"/>
      <c r="C1293" s="159"/>
      <c r="D1293" s="171"/>
      <c r="E1293" s="760" t="s">
        <v>169</v>
      </c>
      <c r="F1293" s="760"/>
      <c r="G1293" s="171"/>
    </row>
    <row r="1294" spans="1:7" ht="21" customHeight="1">
      <c r="A1294" s="254"/>
      <c r="B1294" s="254"/>
      <c r="C1294" s="159"/>
      <c r="D1294" s="760" t="s">
        <v>377</v>
      </c>
      <c r="E1294" s="760"/>
      <c r="F1294" s="760"/>
      <c r="G1294" s="760"/>
    </row>
    <row r="1295" spans="1:7" ht="21" customHeight="1">
      <c r="A1295" s="254"/>
      <c r="B1295" s="254"/>
      <c r="C1295" s="159"/>
      <c r="D1295" s="171"/>
      <c r="E1295" s="533"/>
      <c r="F1295" s="171"/>
      <c r="G1295" s="171"/>
    </row>
    <row r="1296" spans="1:7" ht="21" customHeight="1">
      <c r="A1296" s="254"/>
      <c r="B1296" s="254"/>
      <c r="C1296" s="159"/>
      <c r="D1296" s="171"/>
      <c r="E1296" s="792" t="s">
        <v>264</v>
      </c>
      <c r="F1296" s="792"/>
      <c r="G1296" s="171"/>
    </row>
    <row r="1297" spans="1:7" ht="21" customHeight="1">
      <c r="A1297" s="254"/>
      <c r="B1297" s="254"/>
      <c r="C1297" s="159"/>
      <c r="D1297" s="256"/>
      <c r="E1297" s="533"/>
      <c r="F1297" s="255"/>
      <c r="G1297" s="171"/>
    </row>
    <row r="1298" spans="1:7" ht="21" customHeight="1">
      <c r="A1298" s="254"/>
      <c r="B1298" s="254"/>
      <c r="C1298" s="159"/>
      <c r="D1298" s="171"/>
      <c r="E1298" s="539" t="s">
        <v>266</v>
      </c>
      <c r="F1298" s="159"/>
      <c r="G1298" s="171"/>
    </row>
    <row r="1299" spans="1:7" ht="21" customHeight="1">
      <c r="A1299" s="254"/>
      <c r="B1299" s="254"/>
      <c r="C1299" s="257"/>
      <c r="D1299" s="171"/>
      <c r="E1299" s="790" t="s">
        <v>402</v>
      </c>
      <c r="F1299" s="790"/>
      <c r="G1299" s="171"/>
    </row>
    <row r="1300" spans="1:7" ht="21" customHeight="1">
      <c r="A1300" s="254"/>
      <c r="B1300" s="254"/>
      <c r="C1300" s="240"/>
      <c r="D1300" s="793" t="s">
        <v>515</v>
      </c>
      <c r="E1300" s="793"/>
      <c r="F1300" s="793"/>
      <c r="G1300" s="793"/>
    </row>
    <row r="1301" spans="6:7" ht="21" customHeight="1">
      <c r="F1301" s="780" t="s">
        <v>620</v>
      </c>
      <c r="G1301" s="780"/>
    </row>
    <row r="1302" spans="5:7" ht="21" customHeight="1">
      <c r="E1302" s="746" t="s">
        <v>641</v>
      </c>
      <c r="F1302" s="746"/>
      <c r="G1302" s="746"/>
    </row>
    <row r="1303" spans="1:7" ht="21" customHeight="1">
      <c r="A1303" s="744" t="s">
        <v>89</v>
      </c>
      <c r="B1303" s="744"/>
      <c r="C1303" s="744"/>
      <c r="D1303" s="744"/>
      <c r="E1303" s="744"/>
      <c r="F1303" s="744"/>
      <c r="G1303" s="744"/>
    </row>
    <row r="1304" spans="1:4" ht="21" customHeight="1" thickBot="1">
      <c r="A1304" s="174" t="s">
        <v>121</v>
      </c>
      <c r="B1304" s="174"/>
      <c r="C1304" s="174"/>
      <c r="D1304" s="223"/>
    </row>
    <row r="1305" spans="1:7" ht="21" customHeight="1" thickBot="1">
      <c r="A1305" s="769" t="s">
        <v>52</v>
      </c>
      <c r="B1305" s="781"/>
      <c r="C1305" s="781"/>
      <c r="D1305" s="782"/>
      <c r="E1305" s="588" t="s">
        <v>47</v>
      </c>
      <c r="F1305" s="225" t="s">
        <v>9</v>
      </c>
      <c r="G1305" s="226" t="s">
        <v>10</v>
      </c>
    </row>
    <row r="1306" spans="1:7" ht="21" customHeight="1">
      <c r="A1306" s="185" t="s">
        <v>630</v>
      </c>
      <c r="B1306" s="186"/>
      <c r="C1306" s="186"/>
      <c r="D1306" s="186"/>
      <c r="E1306" s="589"/>
      <c r="F1306" s="227">
        <v>26840</v>
      </c>
      <c r="G1306" s="228"/>
    </row>
    <row r="1307" spans="1:7" ht="21" customHeight="1">
      <c r="A1307" s="185"/>
      <c r="B1307" s="186" t="s">
        <v>7</v>
      </c>
      <c r="C1307" s="186"/>
      <c r="E1307" s="590"/>
      <c r="F1307" s="230"/>
      <c r="G1307" s="231">
        <f>SUM(F1306:F1306)</f>
        <v>26840</v>
      </c>
    </row>
    <row r="1308" spans="1:7" ht="21" customHeight="1">
      <c r="A1308" s="232"/>
      <c r="B1308" s="233"/>
      <c r="C1308" s="233"/>
      <c r="D1308" s="233"/>
      <c r="E1308" s="590"/>
      <c r="F1308" s="230"/>
      <c r="G1308" s="231"/>
    </row>
    <row r="1309" spans="1:7" ht="21" customHeight="1">
      <c r="A1309" s="232"/>
      <c r="B1309" s="233"/>
      <c r="C1309" s="233"/>
      <c r="D1309" s="233"/>
      <c r="E1309" s="590"/>
      <c r="F1309" s="230"/>
      <c r="G1309" s="231"/>
    </row>
    <row r="1310" spans="1:7" ht="21" customHeight="1">
      <c r="A1310" s="232"/>
      <c r="B1310" s="233"/>
      <c r="C1310" s="233"/>
      <c r="D1310" s="233"/>
      <c r="E1310" s="590"/>
      <c r="F1310" s="230"/>
      <c r="G1310" s="231"/>
    </row>
    <row r="1311" spans="1:7" ht="21" customHeight="1">
      <c r="A1311" s="232"/>
      <c r="B1311" s="233"/>
      <c r="C1311" s="233"/>
      <c r="D1311" s="233"/>
      <c r="E1311" s="590"/>
      <c r="F1311" s="230"/>
      <c r="G1311" s="231"/>
    </row>
    <row r="1312" spans="1:7" ht="21" customHeight="1">
      <c r="A1312" s="232"/>
      <c r="B1312" s="233"/>
      <c r="C1312" s="233"/>
      <c r="D1312" s="233"/>
      <c r="E1312" s="590"/>
      <c r="F1312" s="234"/>
      <c r="G1312" s="231"/>
    </row>
    <row r="1313" spans="1:7" ht="21" customHeight="1">
      <c r="A1313" s="232"/>
      <c r="B1313" s="233"/>
      <c r="C1313" s="233"/>
      <c r="D1313" s="233"/>
      <c r="E1313" s="590"/>
      <c r="F1313" s="234"/>
      <c r="G1313" s="231"/>
    </row>
    <row r="1314" spans="1:7" ht="21" customHeight="1" thickBot="1">
      <c r="A1314" s="235"/>
      <c r="B1314" s="236"/>
      <c r="C1314" s="236"/>
      <c r="D1314" s="237"/>
      <c r="E1314" s="591"/>
      <c r="F1314" s="238">
        <f>SUM(F1306:F1307)</f>
        <v>26840</v>
      </c>
      <c r="G1314" s="239">
        <f>SUM(G1307:G1307)</f>
        <v>26840</v>
      </c>
    </row>
    <row r="1315" spans="1:7" ht="21" customHeight="1" thickTop="1">
      <c r="A1315" s="217" t="s">
        <v>90</v>
      </c>
      <c r="B1315" s="240" t="s">
        <v>627</v>
      </c>
      <c r="C1315" s="241"/>
      <c r="D1315" s="242"/>
      <c r="E1315" s="532"/>
      <c r="F1315" s="552"/>
      <c r="G1315" s="686"/>
    </row>
    <row r="1316" spans="1:7" ht="21" customHeight="1">
      <c r="A1316" s="244"/>
      <c r="B1316" s="240"/>
      <c r="C1316" s="241"/>
      <c r="D1316" s="242"/>
      <c r="E1316" s="532"/>
      <c r="F1316" s="171"/>
      <c r="G1316" s="683"/>
    </row>
    <row r="1317" spans="1:7" ht="21" customHeight="1">
      <c r="A1317" s="245">
        <v>1</v>
      </c>
      <c r="B1317" s="788" t="s">
        <v>626</v>
      </c>
      <c r="C1317" s="788"/>
      <c r="D1317" s="788"/>
      <c r="E1317" s="170" t="s">
        <v>46</v>
      </c>
      <c r="F1317" s="532">
        <v>26840</v>
      </c>
      <c r="G1317" s="683" t="s">
        <v>30</v>
      </c>
    </row>
    <row r="1318" spans="1:7" ht="21" customHeight="1">
      <c r="A1318" s="245"/>
      <c r="B1318" s="788"/>
      <c r="C1318" s="788"/>
      <c r="D1318" s="788"/>
      <c r="E1318" s="532"/>
      <c r="F1318" s="171"/>
      <c r="G1318" s="683"/>
    </row>
    <row r="1319" spans="1:7" ht="21" customHeight="1">
      <c r="A1319" s="245"/>
      <c r="B1319" s="240"/>
      <c r="C1319" s="247"/>
      <c r="D1319" s="170"/>
      <c r="E1319" s="537"/>
      <c r="F1319" s="171"/>
      <c r="G1319" s="683"/>
    </row>
    <row r="1320" spans="1:7" ht="21" customHeight="1">
      <c r="A1320" s="245"/>
      <c r="B1320" s="529"/>
      <c r="C1320" s="247"/>
      <c r="E1320" s="170"/>
      <c r="F1320" s="532"/>
      <c r="G1320" s="683"/>
    </row>
    <row r="1321" spans="1:7" ht="21" customHeight="1">
      <c r="A1321" s="245"/>
      <c r="B1321" s="791"/>
      <c r="C1321" s="791"/>
      <c r="D1321" s="791"/>
      <c r="E1321" s="170"/>
      <c r="F1321" s="537"/>
      <c r="G1321" s="683"/>
    </row>
    <row r="1322" spans="1:7" ht="21" customHeight="1" thickBot="1">
      <c r="A1322" s="251"/>
      <c r="B1322" s="648"/>
      <c r="C1322" s="255" t="s">
        <v>70</v>
      </c>
      <c r="D1322" s="219"/>
      <c r="E1322" s="680">
        <f>SUM(F1317:F1321)</f>
        <v>26840</v>
      </c>
      <c r="F1322" s="171"/>
      <c r="G1322" s="683"/>
    </row>
    <row r="1323" spans="1:7" ht="21" customHeight="1">
      <c r="A1323" s="753" t="s">
        <v>34</v>
      </c>
      <c r="B1323" s="754"/>
      <c r="C1323" s="783" t="s">
        <v>569</v>
      </c>
      <c r="D1323" s="784"/>
      <c r="E1323" s="785"/>
      <c r="F1323" s="786" t="s">
        <v>570</v>
      </c>
      <c r="G1323" s="787"/>
    </row>
    <row r="1324" spans="1:7" ht="21" customHeight="1">
      <c r="A1324" s="676"/>
      <c r="B1324" s="678"/>
      <c r="C1324" s="422"/>
      <c r="D1324" s="256"/>
      <c r="E1324" s="647"/>
      <c r="F1324" s="682"/>
      <c r="G1324" s="683"/>
    </row>
    <row r="1325" spans="1:7" ht="21" customHeight="1">
      <c r="A1325" s="676"/>
      <c r="B1325" s="678"/>
      <c r="C1325" s="422"/>
      <c r="D1325" s="171"/>
      <c r="E1325" s="681"/>
      <c r="F1325" s="422"/>
      <c r="G1325" s="683"/>
    </row>
    <row r="1326" spans="1:7" ht="21" customHeight="1">
      <c r="A1326" s="756" t="s">
        <v>571</v>
      </c>
      <c r="B1326" s="757"/>
      <c r="C1326" s="771" t="s">
        <v>170</v>
      </c>
      <c r="D1326" s="776"/>
      <c r="E1326" s="772"/>
      <c r="F1326" s="771" t="s">
        <v>571</v>
      </c>
      <c r="G1326" s="772"/>
    </row>
    <row r="1327" spans="1:7" ht="21" customHeight="1">
      <c r="A1327" s="758" t="s">
        <v>572</v>
      </c>
      <c r="B1327" s="759"/>
      <c r="C1327" s="777" t="s">
        <v>624</v>
      </c>
      <c r="D1327" s="778"/>
      <c r="E1327" s="779"/>
      <c r="F1327" s="773" t="s">
        <v>572</v>
      </c>
      <c r="G1327" s="774"/>
    </row>
  </sheetData>
  <sheetProtection/>
  <mergeCells count="362">
    <mergeCell ref="A276:B276"/>
    <mergeCell ref="C276:E276"/>
    <mergeCell ref="F276:G276"/>
    <mergeCell ref="A277:B277"/>
    <mergeCell ref="C277:E277"/>
    <mergeCell ref="F277:G277"/>
    <mergeCell ref="F253:G253"/>
    <mergeCell ref="E254:G254"/>
    <mergeCell ref="A255:G255"/>
    <mergeCell ref="A257:D257"/>
    <mergeCell ref="A273:B273"/>
    <mergeCell ref="C273:E273"/>
    <mergeCell ref="F273:G273"/>
    <mergeCell ref="F112:G112"/>
    <mergeCell ref="E87:G87"/>
    <mergeCell ref="A88:G88"/>
    <mergeCell ref="A90:D90"/>
    <mergeCell ref="C109:E109"/>
    <mergeCell ref="F109:G109"/>
    <mergeCell ref="F150:G150"/>
    <mergeCell ref="F127:G127"/>
    <mergeCell ref="E128:G128"/>
    <mergeCell ref="A113:B113"/>
    <mergeCell ref="A147:B147"/>
    <mergeCell ref="C147:E147"/>
    <mergeCell ref="F147:G147"/>
    <mergeCell ref="C113:E113"/>
    <mergeCell ref="F113:G113"/>
    <mergeCell ref="F86:G86"/>
    <mergeCell ref="A24:B24"/>
    <mergeCell ref="A27:B27"/>
    <mergeCell ref="F24:G24"/>
    <mergeCell ref="C24:E24"/>
    <mergeCell ref="C27:E27"/>
    <mergeCell ref="C28:E28"/>
    <mergeCell ref="F27:G27"/>
    <mergeCell ref="F44:G44"/>
    <mergeCell ref="E45:G45"/>
    <mergeCell ref="E1299:F1299"/>
    <mergeCell ref="D1300:G1300"/>
    <mergeCell ref="E1293:F1293"/>
    <mergeCell ref="D1294:G1294"/>
    <mergeCell ref="E1296:F1296"/>
    <mergeCell ref="A1272:G1272"/>
    <mergeCell ref="A1274:D1274"/>
    <mergeCell ref="D1257:G1257"/>
    <mergeCell ref="F1270:G1270"/>
    <mergeCell ref="E1271:G1271"/>
    <mergeCell ref="A1194:G1194"/>
    <mergeCell ref="A1196:D1196"/>
    <mergeCell ref="F28:G28"/>
    <mergeCell ref="D1251:G1251"/>
    <mergeCell ref="E1253:F1253"/>
    <mergeCell ref="A48:D48"/>
    <mergeCell ref="A28:B28"/>
    <mergeCell ref="B893:G893"/>
    <mergeCell ref="A1115:G1115"/>
    <mergeCell ref="A1117:D1117"/>
    <mergeCell ref="A1118:D1118"/>
    <mergeCell ref="E1143:F1143"/>
    <mergeCell ref="D1144:G1144"/>
    <mergeCell ref="F1113:G1113"/>
    <mergeCell ref="D1110:G1110"/>
    <mergeCell ref="A1078:D1078"/>
    <mergeCell ref="A1080:D1080"/>
    <mergeCell ref="E1146:F1146"/>
    <mergeCell ref="E1106:F1106"/>
    <mergeCell ref="E1109:F1109"/>
    <mergeCell ref="E1149:F1149"/>
    <mergeCell ref="D1150:G1150"/>
    <mergeCell ref="E1114:G1114"/>
    <mergeCell ref="D1029:G1029"/>
    <mergeCell ref="F1033:G1033"/>
    <mergeCell ref="E1034:G1034"/>
    <mergeCell ref="A1035:G1035"/>
    <mergeCell ref="A1037:D1037"/>
    <mergeCell ref="E1103:F1103"/>
    <mergeCell ref="D1104:G1104"/>
    <mergeCell ref="D1064:G1064"/>
    <mergeCell ref="F1073:G1073"/>
    <mergeCell ref="E1074:G1074"/>
    <mergeCell ref="A1075:G1075"/>
    <mergeCell ref="A1077:D1077"/>
    <mergeCell ref="E1066:F1066"/>
    <mergeCell ref="E1027:G1027"/>
    <mergeCell ref="A995:G995"/>
    <mergeCell ref="A997:D997"/>
    <mergeCell ref="E1069:F1069"/>
    <mergeCell ref="D1070:G1070"/>
    <mergeCell ref="E1022:F1022"/>
    <mergeCell ref="D1023:G1023"/>
    <mergeCell ref="E1025:F1025"/>
    <mergeCell ref="E1028:F1028"/>
    <mergeCell ref="E1063:F1063"/>
    <mergeCell ref="D984:G984"/>
    <mergeCell ref="E986:F986"/>
    <mergeCell ref="E989:F989"/>
    <mergeCell ref="D990:G990"/>
    <mergeCell ref="F993:G993"/>
    <mergeCell ref="E994:G994"/>
    <mergeCell ref="C975:D975"/>
    <mergeCell ref="C976:D976"/>
    <mergeCell ref="C977:D977"/>
    <mergeCell ref="C978:D978"/>
    <mergeCell ref="C979:D979"/>
    <mergeCell ref="E983:F983"/>
    <mergeCell ref="F954:G954"/>
    <mergeCell ref="E955:G955"/>
    <mergeCell ref="A956:G956"/>
    <mergeCell ref="A958:D958"/>
    <mergeCell ref="C971:D971"/>
    <mergeCell ref="C972:D972"/>
    <mergeCell ref="E869:F869"/>
    <mergeCell ref="F837:G837"/>
    <mergeCell ref="E872:F872"/>
    <mergeCell ref="D873:G873"/>
    <mergeCell ref="C859:D859"/>
    <mergeCell ref="C860:D860"/>
    <mergeCell ref="C861:D861"/>
    <mergeCell ref="C862:D862"/>
    <mergeCell ref="D867:G867"/>
    <mergeCell ref="E866:F866"/>
    <mergeCell ref="C855:D855"/>
    <mergeCell ref="C858:D858"/>
    <mergeCell ref="C824:D824"/>
    <mergeCell ref="E828:F828"/>
    <mergeCell ref="E834:H834"/>
    <mergeCell ref="E838:G838"/>
    <mergeCell ref="A839:G839"/>
    <mergeCell ref="A841:D841"/>
    <mergeCell ref="C854:D854"/>
    <mergeCell ref="A802:G802"/>
    <mergeCell ref="A804:D804"/>
    <mergeCell ref="C823:D823"/>
    <mergeCell ref="C819:D819"/>
    <mergeCell ref="C820:D820"/>
    <mergeCell ref="D835:G835"/>
    <mergeCell ref="C821:D821"/>
    <mergeCell ref="C822:D822"/>
    <mergeCell ref="D829:G829"/>
    <mergeCell ref="E831:F831"/>
    <mergeCell ref="D561:G561"/>
    <mergeCell ref="E563:F563"/>
    <mergeCell ref="E566:H566"/>
    <mergeCell ref="D567:G567"/>
    <mergeCell ref="E569:G569"/>
    <mergeCell ref="A570:G570"/>
    <mergeCell ref="C584:D584"/>
    <mergeCell ref="E605:H605"/>
    <mergeCell ref="E797:H797"/>
    <mergeCell ref="E794:F794"/>
    <mergeCell ref="C782:D782"/>
    <mergeCell ref="E791:F791"/>
    <mergeCell ref="E599:F599"/>
    <mergeCell ref="D600:G600"/>
    <mergeCell ref="E602:F602"/>
    <mergeCell ref="C588:D588"/>
    <mergeCell ref="C783:D783"/>
    <mergeCell ref="A767:D767"/>
    <mergeCell ref="A129:G129"/>
    <mergeCell ref="A131:D131"/>
    <mergeCell ref="E156:F156"/>
    <mergeCell ref="D157:G157"/>
    <mergeCell ref="A151:B151"/>
    <mergeCell ref="C151:E151"/>
    <mergeCell ref="F151:G151"/>
    <mergeCell ref="D163:G163"/>
    <mergeCell ref="D519:G519"/>
    <mergeCell ref="E512:F512"/>
    <mergeCell ref="E159:F159"/>
    <mergeCell ref="E162:H162"/>
    <mergeCell ref="D513:G513"/>
    <mergeCell ref="E515:F515"/>
    <mergeCell ref="E518:H518"/>
    <mergeCell ref="F445:G445"/>
    <mergeCell ref="E446:G446"/>
    <mergeCell ref="A447:G447"/>
    <mergeCell ref="C549:D549"/>
    <mergeCell ref="F568:G568"/>
    <mergeCell ref="C585:D585"/>
    <mergeCell ref="C587:D587"/>
    <mergeCell ref="F529:G529"/>
    <mergeCell ref="E530:G530"/>
    <mergeCell ref="A531:G531"/>
    <mergeCell ref="A533:D533"/>
    <mergeCell ref="E560:F560"/>
    <mergeCell ref="A572:D572"/>
    <mergeCell ref="D606:G606"/>
    <mergeCell ref="F607:G607"/>
    <mergeCell ref="E608:G608"/>
    <mergeCell ref="A609:G609"/>
    <mergeCell ref="A611:D611"/>
    <mergeCell ref="E638:F638"/>
    <mergeCell ref="D639:G639"/>
    <mergeCell ref="E641:F641"/>
    <mergeCell ref="E644:H644"/>
    <mergeCell ref="D645:G645"/>
    <mergeCell ref="F646:G646"/>
    <mergeCell ref="E647:G647"/>
    <mergeCell ref="A648:G648"/>
    <mergeCell ref="A650:D650"/>
    <mergeCell ref="C668:D668"/>
    <mergeCell ref="E677:F677"/>
    <mergeCell ref="D678:G678"/>
    <mergeCell ref="E680:F680"/>
    <mergeCell ref="E683:H683"/>
    <mergeCell ref="D684:G684"/>
    <mergeCell ref="F685:G685"/>
    <mergeCell ref="E686:G686"/>
    <mergeCell ref="A687:G687"/>
    <mergeCell ref="A689:D689"/>
    <mergeCell ref="C707:D707"/>
    <mergeCell ref="E716:F716"/>
    <mergeCell ref="D717:G717"/>
    <mergeCell ref="E719:F719"/>
    <mergeCell ref="E722:H722"/>
    <mergeCell ref="D723:G723"/>
    <mergeCell ref="A765:G765"/>
    <mergeCell ref="E764:G764"/>
    <mergeCell ref="F763:G763"/>
    <mergeCell ref="C785:D785"/>
    <mergeCell ref="F724:G724"/>
    <mergeCell ref="E725:G725"/>
    <mergeCell ref="A726:G726"/>
    <mergeCell ref="A728:D728"/>
    <mergeCell ref="C743:D743"/>
    <mergeCell ref="C744:D744"/>
    <mergeCell ref="D792:G792"/>
    <mergeCell ref="D798:G798"/>
    <mergeCell ref="C784:D784"/>
    <mergeCell ref="E755:F755"/>
    <mergeCell ref="D756:G756"/>
    <mergeCell ref="E758:F758"/>
    <mergeCell ref="E761:H761"/>
    <mergeCell ref="D762:G762"/>
    <mergeCell ref="E905:F905"/>
    <mergeCell ref="D906:G906"/>
    <mergeCell ref="E877:G877"/>
    <mergeCell ref="A878:G878"/>
    <mergeCell ref="A880:D880"/>
    <mergeCell ref="C786:D786"/>
    <mergeCell ref="C787:D787"/>
    <mergeCell ref="F876:G876"/>
    <mergeCell ref="F800:G800"/>
    <mergeCell ref="E801:G801"/>
    <mergeCell ref="C894:D894"/>
    <mergeCell ref="C897:D897"/>
    <mergeCell ref="C898:D898"/>
    <mergeCell ref="C899:D899"/>
    <mergeCell ref="C900:D900"/>
    <mergeCell ref="C901:D901"/>
    <mergeCell ref="E908:F908"/>
    <mergeCell ref="E911:F911"/>
    <mergeCell ref="D912:G912"/>
    <mergeCell ref="F915:G915"/>
    <mergeCell ref="A919:D919"/>
    <mergeCell ref="C932:D932"/>
    <mergeCell ref="E916:G916"/>
    <mergeCell ref="A917:G917"/>
    <mergeCell ref="C933:D933"/>
    <mergeCell ref="B19:D19"/>
    <mergeCell ref="B22:D22"/>
    <mergeCell ref="E947:F947"/>
    <mergeCell ref="F80:G80"/>
    <mergeCell ref="A83:B83"/>
    <mergeCell ref="C83:E83"/>
    <mergeCell ref="F83:G83"/>
    <mergeCell ref="A449:D449"/>
    <mergeCell ref="B461:D461"/>
    <mergeCell ref="E950:F950"/>
    <mergeCell ref="D951:G951"/>
    <mergeCell ref="C936:D936"/>
    <mergeCell ref="C937:D937"/>
    <mergeCell ref="C938:D938"/>
    <mergeCell ref="C939:D939"/>
    <mergeCell ref="C940:D940"/>
    <mergeCell ref="D945:G945"/>
    <mergeCell ref="E944:F944"/>
    <mergeCell ref="F2:G2"/>
    <mergeCell ref="E3:G3"/>
    <mergeCell ref="A4:G4"/>
    <mergeCell ref="A6:D6"/>
    <mergeCell ref="B18:D18"/>
    <mergeCell ref="A84:B84"/>
    <mergeCell ref="C84:E84"/>
    <mergeCell ref="F84:G84"/>
    <mergeCell ref="B20:D20"/>
    <mergeCell ref="A46:G46"/>
    <mergeCell ref="C1178:D1178"/>
    <mergeCell ref="E1182:F1182"/>
    <mergeCell ref="F1153:G1153"/>
    <mergeCell ref="E1154:G1154"/>
    <mergeCell ref="A1155:G1155"/>
    <mergeCell ref="A1157:D1157"/>
    <mergeCell ref="C1170:D1170"/>
    <mergeCell ref="C1171:D1171"/>
    <mergeCell ref="B63:D63"/>
    <mergeCell ref="A80:B80"/>
    <mergeCell ref="C80:E80"/>
    <mergeCell ref="A150:B150"/>
    <mergeCell ref="C150:E150"/>
    <mergeCell ref="A109:B109"/>
    <mergeCell ref="A112:B112"/>
    <mergeCell ref="C112:E112"/>
    <mergeCell ref="B68:C68"/>
    <mergeCell ref="B69:C69"/>
    <mergeCell ref="F1301:G1301"/>
    <mergeCell ref="E1302:G1302"/>
    <mergeCell ref="A1303:G1303"/>
    <mergeCell ref="D1183:G1183"/>
    <mergeCell ref="E1185:F1185"/>
    <mergeCell ref="E1188:F1188"/>
    <mergeCell ref="D1189:G1189"/>
    <mergeCell ref="E1250:F1250"/>
    <mergeCell ref="F1192:G1192"/>
    <mergeCell ref="E1193:G1193"/>
    <mergeCell ref="F1327:G1327"/>
    <mergeCell ref="B1321:D1321"/>
    <mergeCell ref="A1323:B1323"/>
    <mergeCell ref="C1323:E1323"/>
    <mergeCell ref="F1323:G1323"/>
    <mergeCell ref="A1326:B1326"/>
    <mergeCell ref="C1326:E1326"/>
    <mergeCell ref="F1326:G1326"/>
    <mergeCell ref="A1305:D1305"/>
    <mergeCell ref="B1317:D1317"/>
    <mergeCell ref="B1318:D1318"/>
    <mergeCell ref="A1327:B1327"/>
    <mergeCell ref="C1327:E1327"/>
    <mergeCell ref="C1174:D1174"/>
    <mergeCell ref="C1175:D1175"/>
    <mergeCell ref="C1176:D1176"/>
    <mergeCell ref="C1177:D1177"/>
    <mergeCell ref="E1256:F1256"/>
    <mergeCell ref="F169:G169"/>
    <mergeCell ref="E170:G170"/>
    <mergeCell ref="A171:G171"/>
    <mergeCell ref="A173:D173"/>
    <mergeCell ref="A189:B189"/>
    <mergeCell ref="C189:E189"/>
    <mergeCell ref="F189:G189"/>
    <mergeCell ref="A192:B192"/>
    <mergeCell ref="C192:E192"/>
    <mergeCell ref="F192:G192"/>
    <mergeCell ref="A193:B193"/>
    <mergeCell ref="C193:E193"/>
    <mergeCell ref="F193:G193"/>
    <mergeCell ref="F211:G211"/>
    <mergeCell ref="E212:G212"/>
    <mergeCell ref="A213:G213"/>
    <mergeCell ref="A215:D215"/>
    <mergeCell ref="A231:B231"/>
    <mergeCell ref="C231:E231"/>
    <mergeCell ref="F231:G231"/>
    <mergeCell ref="A234:B234"/>
    <mergeCell ref="C234:E234"/>
    <mergeCell ref="F234:G234"/>
    <mergeCell ref="A235:B235"/>
    <mergeCell ref="C235:E235"/>
    <mergeCell ref="F235:G235"/>
  </mergeCells>
  <printOptions horizontalCentered="1"/>
  <pageMargins left="0.11811023622047245" right="0.11811023622047245" top="0.3937007874015748" bottom="0.3937007874015748" header="0.2362204724409449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R59"/>
  <sheetViews>
    <sheetView view="pageBreakPreview" zoomScale="74" zoomScaleSheetLayoutView="74" zoomScalePageLayoutView="0" workbookViewId="0" topLeftCell="A38">
      <selection activeCell="C26" sqref="C26"/>
    </sheetView>
  </sheetViews>
  <sheetFormatPr defaultColWidth="25.140625" defaultRowHeight="21.75"/>
  <cols>
    <col min="1" max="1" width="31.421875" style="269" customWidth="1"/>
    <col min="2" max="2" width="8.00390625" style="269" customWidth="1"/>
    <col min="3" max="3" width="13.8515625" style="389" customWidth="1"/>
    <col min="4" max="4" width="13.8515625" style="386" customWidth="1"/>
    <col min="5" max="5" width="12.7109375" style="387" bestFit="1" customWidth="1"/>
    <col min="6" max="6" width="12.7109375" style="375" bestFit="1" customWidth="1"/>
    <col min="7" max="7" width="12.7109375" style="376" bestFit="1" customWidth="1"/>
    <col min="8" max="8" width="12.7109375" style="377" bestFit="1" customWidth="1"/>
    <col min="9" max="9" width="12.00390625" style="378" customWidth="1"/>
    <col min="10" max="10" width="12.7109375" style="379" bestFit="1" customWidth="1"/>
    <col min="11" max="11" width="13.8515625" style="380" bestFit="1" customWidth="1"/>
    <col min="12" max="12" width="14.00390625" style="381" customWidth="1"/>
    <col min="13" max="13" width="15.00390625" style="293" customWidth="1"/>
    <col min="14" max="14" width="25.140625" style="293" customWidth="1"/>
    <col min="15" max="16384" width="25.140625" style="269" customWidth="1"/>
  </cols>
  <sheetData>
    <row r="1" spans="1:18" ht="21">
      <c r="A1" s="804" t="s">
        <v>716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266"/>
      <c r="N1" s="267"/>
      <c r="O1" s="268"/>
      <c r="P1" s="268"/>
      <c r="Q1" s="268"/>
      <c r="R1" s="268"/>
    </row>
    <row r="2" spans="1:12" s="281" customFormat="1" ht="21">
      <c r="A2" s="270" t="s">
        <v>8</v>
      </c>
      <c r="B2" s="270" t="s">
        <v>47</v>
      </c>
      <c r="C2" s="271" t="s">
        <v>9</v>
      </c>
      <c r="D2" s="272" t="s">
        <v>10</v>
      </c>
      <c r="E2" s="273" t="s">
        <v>161</v>
      </c>
      <c r="F2" s="274" t="s">
        <v>22</v>
      </c>
      <c r="G2" s="275" t="s">
        <v>19</v>
      </c>
      <c r="H2" s="276" t="s">
        <v>21</v>
      </c>
      <c r="I2" s="277" t="s">
        <v>162</v>
      </c>
      <c r="J2" s="278" t="s">
        <v>20</v>
      </c>
      <c r="K2" s="279" t="s">
        <v>23</v>
      </c>
      <c r="L2" s="280" t="s">
        <v>24</v>
      </c>
    </row>
    <row r="3" spans="1:14" ht="21">
      <c r="A3" s="282" t="s">
        <v>78</v>
      </c>
      <c r="B3" s="283">
        <v>111100</v>
      </c>
      <c r="C3" s="284">
        <v>0</v>
      </c>
      <c r="D3" s="284">
        <v>0</v>
      </c>
      <c r="E3" s="285">
        <v>0</v>
      </c>
      <c r="F3" s="286">
        <v>0</v>
      </c>
      <c r="G3" s="287">
        <f>'ใบผ่านรายการ 1 '!G6</f>
        <v>69044</v>
      </c>
      <c r="H3" s="288">
        <f>'ใบผ่านรายการ 1 '!H6</f>
        <v>69044</v>
      </c>
      <c r="I3" s="289">
        <v>0</v>
      </c>
      <c r="J3" s="290">
        <v>0</v>
      </c>
      <c r="K3" s="291">
        <f>C3+E3+G3+I3-D3-F3-H3-J3</f>
        <v>0</v>
      </c>
      <c r="L3" s="292">
        <v>0</v>
      </c>
      <c r="N3" s="269"/>
    </row>
    <row r="4" spans="1:14" ht="21">
      <c r="A4" s="282" t="s">
        <v>25</v>
      </c>
      <c r="B4" s="283">
        <v>111203</v>
      </c>
      <c r="C4" s="284">
        <v>3268525.74</v>
      </c>
      <c r="D4" s="284">
        <v>0</v>
      </c>
      <c r="E4" s="285">
        <v>0</v>
      </c>
      <c r="F4" s="294">
        <f>ใบผ่านทั่วไป!G50</f>
        <v>5057350.7</v>
      </c>
      <c r="G4" s="295">
        <f>'ใบผ่านรายการ 1 '!G7</f>
        <v>2172091.31</v>
      </c>
      <c r="H4" s="296">
        <v>0</v>
      </c>
      <c r="I4" s="289">
        <v>0</v>
      </c>
      <c r="J4" s="297">
        <v>0</v>
      </c>
      <c r="K4" s="291">
        <f>C4+E4+G4+I4-D4-F4-H4-J4</f>
        <v>383266.35000000056</v>
      </c>
      <c r="L4" s="298">
        <v>0</v>
      </c>
      <c r="M4" s="269"/>
      <c r="N4" s="299"/>
    </row>
    <row r="5" spans="1:14" ht="21">
      <c r="A5" s="282" t="s">
        <v>102</v>
      </c>
      <c r="B5" s="300" t="s">
        <v>242</v>
      </c>
      <c r="C5" s="284">
        <v>33785862.47</v>
      </c>
      <c r="D5" s="284">
        <v>0</v>
      </c>
      <c r="E5" s="285">
        <f>ใบผ่านทั่วไป!F49</f>
        <v>5057350.7</v>
      </c>
      <c r="F5" s="294">
        <v>0</v>
      </c>
      <c r="G5" s="295">
        <f>'ใบผ่านรายการ 1 '!G8</f>
        <v>159059.01</v>
      </c>
      <c r="H5" s="296">
        <v>0</v>
      </c>
      <c r="I5" s="289">
        <v>0</v>
      </c>
      <c r="J5" s="297">
        <f>'ใบผ่านรายการ  2'!F46</f>
        <v>4953640.76</v>
      </c>
      <c r="K5" s="291">
        <f>C5+E5+G5+I5-D5-F5-H5-J5</f>
        <v>34048631.42</v>
      </c>
      <c r="L5" s="298">
        <v>0</v>
      </c>
      <c r="M5" s="299"/>
      <c r="N5" s="301">
        <f>SUM(K4:K8)+K10</f>
        <v>35518952.63</v>
      </c>
    </row>
    <row r="6" spans="1:14" ht="21">
      <c r="A6" s="302" t="s">
        <v>131</v>
      </c>
      <c r="B6" s="264">
        <v>111202</v>
      </c>
      <c r="C6" s="284">
        <v>957762.87</v>
      </c>
      <c r="D6" s="284">
        <v>0</v>
      </c>
      <c r="E6" s="303">
        <v>0</v>
      </c>
      <c r="F6" s="294">
        <v>0</v>
      </c>
      <c r="G6" s="295">
        <f>'ใบผ่านรายการ 1 '!G9</f>
        <v>0</v>
      </c>
      <c r="H6" s="296">
        <v>0</v>
      </c>
      <c r="I6" s="289">
        <v>0</v>
      </c>
      <c r="J6" s="297">
        <v>0</v>
      </c>
      <c r="K6" s="291">
        <f aca="true" t="shared" si="0" ref="K6:K31">C6+E6+G6+I6-D6-F6-H6-J6</f>
        <v>957762.87</v>
      </c>
      <c r="L6" s="298">
        <v>0</v>
      </c>
      <c r="M6" s="269"/>
      <c r="N6" s="269"/>
    </row>
    <row r="7" spans="1:14" ht="21">
      <c r="A7" s="302" t="s">
        <v>134</v>
      </c>
      <c r="B7" s="264" t="s">
        <v>239</v>
      </c>
      <c r="C7" s="284">
        <v>77.13</v>
      </c>
      <c r="D7" s="284">
        <v>0</v>
      </c>
      <c r="E7" s="285">
        <v>0</v>
      </c>
      <c r="F7" s="294">
        <v>0</v>
      </c>
      <c r="G7" s="295">
        <f>'ใบผ่านรายการ 1 '!G10</f>
        <v>0</v>
      </c>
      <c r="H7" s="296">
        <v>0</v>
      </c>
      <c r="I7" s="289">
        <v>0</v>
      </c>
      <c r="J7" s="297">
        <v>0</v>
      </c>
      <c r="K7" s="291">
        <f t="shared" si="0"/>
        <v>77.13</v>
      </c>
      <c r="L7" s="298">
        <v>0</v>
      </c>
      <c r="M7" s="299">
        <f>SUM(C3:C8)</f>
        <v>38141393.07</v>
      </c>
      <c r="N7" s="269"/>
    </row>
    <row r="8" spans="1:14" ht="21">
      <c r="A8" s="302" t="s">
        <v>122</v>
      </c>
      <c r="B8" s="304" t="s">
        <v>244</v>
      </c>
      <c r="C8" s="284">
        <v>129164.86</v>
      </c>
      <c r="D8" s="284">
        <v>0</v>
      </c>
      <c r="E8" s="285">
        <v>0</v>
      </c>
      <c r="F8" s="294">
        <v>0</v>
      </c>
      <c r="G8" s="295">
        <f>'ใบผ่านรายการ 1 '!G11</f>
        <v>0</v>
      </c>
      <c r="H8" s="296">
        <v>0</v>
      </c>
      <c r="I8" s="289">
        <v>0</v>
      </c>
      <c r="J8" s="297">
        <f>'ใบผ่านรายการ  2'!F47</f>
        <v>0</v>
      </c>
      <c r="K8" s="291">
        <f t="shared" si="0"/>
        <v>129164.86</v>
      </c>
      <c r="L8" s="298">
        <v>0</v>
      </c>
      <c r="M8" s="299">
        <f>SUM(K3:K8)</f>
        <v>35518902.63</v>
      </c>
      <c r="N8" s="269"/>
    </row>
    <row r="9" spans="1:14" ht="21">
      <c r="A9" s="302" t="s">
        <v>43</v>
      </c>
      <c r="B9" s="264">
        <v>112002</v>
      </c>
      <c r="C9" s="284">
        <v>5246321.23</v>
      </c>
      <c r="D9" s="284">
        <v>0</v>
      </c>
      <c r="E9" s="305">
        <v>0</v>
      </c>
      <c r="F9" s="294"/>
      <c r="G9" s="295">
        <v>0</v>
      </c>
      <c r="H9" s="296">
        <v>0</v>
      </c>
      <c r="I9" s="289">
        <f>'ใบผ่านรายการ  2'!E44</f>
        <v>0</v>
      </c>
      <c r="J9" s="297">
        <v>0</v>
      </c>
      <c r="K9" s="291">
        <f t="shared" si="0"/>
        <v>5246321.23</v>
      </c>
      <c r="L9" s="298">
        <v>0</v>
      </c>
      <c r="M9" s="269"/>
      <c r="N9" s="269"/>
    </row>
    <row r="10" spans="1:14" ht="21">
      <c r="A10" s="302" t="s">
        <v>249</v>
      </c>
      <c r="B10" s="263" t="s">
        <v>250</v>
      </c>
      <c r="C10" s="284">
        <v>50</v>
      </c>
      <c r="D10" s="306">
        <v>0</v>
      </c>
      <c r="E10" s="305">
        <v>0</v>
      </c>
      <c r="F10" s="294">
        <v>0</v>
      </c>
      <c r="G10" s="295">
        <v>0</v>
      </c>
      <c r="H10" s="296">
        <f>'ใบผ่านรายการ 1 '!H14</f>
        <v>0</v>
      </c>
      <c r="I10" s="307"/>
      <c r="J10" s="297"/>
      <c r="K10" s="291">
        <f>C10+E10+G10+I10-D10-F10-H10-J10</f>
        <v>50</v>
      </c>
      <c r="L10" s="298"/>
      <c r="M10" s="269"/>
      <c r="N10" s="269"/>
    </row>
    <row r="11" spans="1:12" s="313" customFormat="1" ht="21">
      <c r="A11" s="282" t="s">
        <v>45</v>
      </c>
      <c r="B11" s="283">
        <v>511000</v>
      </c>
      <c r="C11" s="284">
        <v>7151712.47</v>
      </c>
      <c r="D11" s="284">
        <v>0</v>
      </c>
      <c r="E11" s="308">
        <f>ใบผ่านทั่วไป!F7</f>
        <v>466900</v>
      </c>
      <c r="F11" s="309">
        <v>0</v>
      </c>
      <c r="G11" s="295">
        <v>0</v>
      </c>
      <c r="H11" s="318">
        <v>0</v>
      </c>
      <c r="I11" s="310">
        <f>'ใบผ่านรายการ  2'!E6</f>
        <v>249327</v>
      </c>
      <c r="J11" s="311">
        <v>0</v>
      </c>
      <c r="K11" s="291">
        <f>C11+E11+G11+I11-D11-F11-H11-J11</f>
        <v>7867939.47</v>
      </c>
      <c r="L11" s="312">
        <v>0</v>
      </c>
    </row>
    <row r="12" spans="1:13" s="313" customFormat="1" ht="21">
      <c r="A12" s="314" t="s">
        <v>221</v>
      </c>
      <c r="B12" s="315">
        <v>511000</v>
      </c>
      <c r="C12" s="316">
        <v>71669.25</v>
      </c>
      <c r="D12" s="317">
        <v>0</v>
      </c>
      <c r="E12" s="317">
        <v>0</v>
      </c>
      <c r="F12" s="317">
        <v>0</v>
      </c>
      <c r="G12" s="318">
        <v>0</v>
      </c>
      <c r="H12" s="318">
        <v>0</v>
      </c>
      <c r="I12" s="318">
        <f>'ใบผ่านรายการ  2'!E7</f>
        <v>0</v>
      </c>
      <c r="J12" s="317">
        <v>0</v>
      </c>
      <c r="K12" s="316">
        <f>C12+E12+G12+I12-D12-F12-H12-J12</f>
        <v>71669.25</v>
      </c>
      <c r="L12" s="317">
        <v>0</v>
      </c>
      <c r="M12" s="327">
        <f>C11+K12</f>
        <v>7223381.72</v>
      </c>
    </row>
    <row r="13" spans="1:12" s="313" customFormat="1" ht="21">
      <c r="A13" s="302" t="s">
        <v>185</v>
      </c>
      <c r="B13" s="264">
        <v>521000</v>
      </c>
      <c r="C13" s="284">
        <v>2187200</v>
      </c>
      <c r="D13" s="321">
        <v>0</v>
      </c>
      <c r="E13" s="308"/>
      <c r="F13" s="309"/>
      <c r="G13" s="295">
        <v>0</v>
      </c>
      <c r="H13" s="296">
        <v>0</v>
      </c>
      <c r="I13" s="322">
        <f>'ใบผ่านรายการ  2'!E8</f>
        <v>218720</v>
      </c>
      <c r="J13" s="311">
        <v>0</v>
      </c>
      <c r="K13" s="291">
        <f>C13+E13+G13+I13-D13-F13-H13-J13</f>
        <v>2405920</v>
      </c>
      <c r="L13" s="323">
        <v>0</v>
      </c>
    </row>
    <row r="14" spans="1:12" s="313" customFormat="1" ht="21">
      <c r="A14" s="302" t="s">
        <v>187</v>
      </c>
      <c r="B14" s="264">
        <v>522000</v>
      </c>
      <c r="C14" s="284">
        <v>9847448.35</v>
      </c>
      <c r="D14" s="321">
        <v>0</v>
      </c>
      <c r="E14" s="308">
        <v>0</v>
      </c>
      <c r="F14" s="309">
        <v>0</v>
      </c>
      <c r="G14" s="295">
        <v>0</v>
      </c>
      <c r="H14" s="296">
        <v>0</v>
      </c>
      <c r="I14" s="322">
        <f>'ใบผ่านรายการ  2'!E9</f>
        <v>1033715</v>
      </c>
      <c r="J14" s="311">
        <v>0</v>
      </c>
      <c r="K14" s="291">
        <f t="shared" si="0"/>
        <v>10881163.35</v>
      </c>
      <c r="L14" s="323">
        <v>0</v>
      </c>
    </row>
    <row r="15" spans="1:13" s="320" customFormat="1" ht="21">
      <c r="A15" s="324" t="s">
        <v>210</v>
      </c>
      <c r="B15" s="325">
        <v>522000</v>
      </c>
      <c r="C15" s="316">
        <v>0</v>
      </c>
      <c r="D15" s="317">
        <v>0</v>
      </c>
      <c r="E15" s="317">
        <v>0</v>
      </c>
      <c r="F15" s="317">
        <v>0</v>
      </c>
      <c r="G15" s="318">
        <v>0</v>
      </c>
      <c r="H15" s="318">
        <v>0</v>
      </c>
      <c r="I15" s="318">
        <v>0</v>
      </c>
      <c r="J15" s="317">
        <v>0</v>
      </c>
      <c r="K15" s="316">
        <f t="shared" si="0"/>
        <v>0</v>
      </c>
      <c r="L15" s="317">
        <v>0</v>
      </c>
      <c r="M15" s="319">
        <f>SUM(K13:K15)</f>
        <v>13287083.35</v>
      </c>
    </row>
    <row r="16" spans="1:14" s="313" customFormat="1" ht="21">
      <c r="A16" s="302" t="s">
        <v>188</v>
      </c>
      <c r="B16" s="264">
        <v>522000</v>
      </c>
      <c r="C16" s="284">
        <v>754720</v>
      </c>
      <c r="D16" s="321">
        <v>0</v>
      </c>
      <c r="E16" s="308">
        <v>0</v>
      </c>
      <c r="F16" s="309">
        <v>0</v>
      </c>
      <c r="G16" s="295">
        <v>0</v>
      </c>
      <c r="H16" s="296">
        <f>'ใบผ่านรายการ 1 '!H29</f>
        <v>0</v>
      </c>
      <c r="I16" s="322">
        <f>'ใบผ่านรายการ  2'!E10</f>
        <v>76480</v>
      </c>
      <c r="J16" s="311">
        <v>0</v>
      </c>
      <c r="K16" s="291">
        <f t="shared" si="0"/>
        <v>831200</v>
      </c>
      <c r="L16" s="323">
        <v>0</v>
      </c>
      <c r="N16" s="327">
        <f>C14+C16+C18</f>
        <v>14016218.35</v>
      </c>
    </row>
    <row r="17" spans="1:13" s="320" customFormat="1" ht="21">
      <c r="A17" s="326" t="s">
        <v>211</v>
      </c>
      <c r="B17" s="325">
        <v>522000</v>
      </c>
      <c r="C17" s="316">
        <v>0</v>
      </c>
      <c r="D17" s="317">
        <v>0</v>
      </c>
      <c r="E17" s="317">
        <v>0</v>
      </c>
      <c r="F17" s="317">
        <v>0</v>
      </c>
      <c r="G17" s="318">
        <v>0</v>
      </c>
      <c r="H17" s="318">
        <v>0</v>
      </c>
      <c r="I17" s="318">
        <v>0</v>
      </c>
      <c r="J17" s="317">
        <v>0</v>
      </c>
      <c r="K17" s="316">
        <f t="shared" si="0"/>
        <v>0</v>
      </c>
      <c r="L17" s="317">
        <v>0</v>
      </c>
      <c r="M17" s="319">
        <f>SUM(K16:K17)</f>
        <v>831200</v>
      </c>
    </row>
    <row r="18" spans="1:14" s="313" customFormat="1" ht="21">
      <c r="A18" s="302" t="s">
        <v>189</v>
      </c>
      <c r="B18" s="264">
        <v>522000</v>
      </c>
      <c r="C18" s="284">
        <v>3414050</v>
      </c>
      <c r="D18" s="321">
        <v>0</v>
      </c>
      <c r="E18" s="308">
        <v>0</v>
      </c>
      <c r="F18" s="309">
        <v>0</v>
      </c>
      <c r="G18" s="295">
        <v>0</v>
      </c>
      <c r="H18" s="296">
        <v>0</v>
      </c>
      <c r="I18" s="322">
        <f>'ใบผ่านรายการ  2'!E11</f>
        <v>324405</v>
      </c>
      <c r="J18" s="311">
        <v>0</v>
      </c>
      <c r="K18" s="291">
        <f t="shared" si="0"/>
        <v>3738455</v>
      </c>
      <c r="L18" s="323">
        <v>0</v>
      </c>
      <c r="N18" s="327">
        <f>SUM(K14:K19)</f>
        <v>15450818.35</v>
      </c>
    </row>
    <row r="19" spans="1:13" s="320" customFormat="1" ht="21">
      <c r="A19" s="324" t="s">
        <v>208</v>
      </c>
      <c r="B19" s="325">
        <v>522000</v>
      </c>
      <c r="C19" s="316">
        <v>0</v>
      </c>
      <c r="D19" s="317">
        <v>0</v>
      </c>
      <c r="E19" s="317">
        <v>0</v>
      </c>
      <c r="F19" s="317">
        <v>0</v>
      </c>
      <c r="G19" s="318">
        <v>0</v>
      </c>
      <c r="H19" s="318">
        <v>0</v>
      </c>
      <c r="I19" s="318">
        <v>0</v>
      </c>
      <c r="J19" s="317">
        <v>0</v>
      </c>
      <c r="K19" s="316">
        <f t="shared" si="0"/>
        <v>0</v>
      </c>
      <c r="L19" s="317">
        <v>0</v>
      </c>
      <c r="M19" s="319">
        <f>SUM(K18:K19)</f>
        <v>3738455</v>
      </c>
    </row>
    <row r="20" spans="1:14" s="313" customFormat="1" ht="21">
      <c r="A20" s="302" t="s">
        <v>0</v>
      </c>
      <c r="B20" s="264">
        <v>531000</v>
      </c>
      <c r="C20" s="284">
        <v>384850</v>
      </c>
      <c r="D20" s="321">
        <v>0</v>
      </c>
      <c r="E20" s="308">
        <v>0</v>
      </c>
      <c r="F20" s="309">
        <v>0</v>
      </c>
      <c r="G20" s="295">
        <v>0</v>
      </c>
      <c r="H20" s="296">
        <v>0</v>
      </c>
      <c r="I20" s="322">
        <f>'ใบผ่านรายการ  2'!E12</f>
        <v>46950</v>
      </c>
      <c r="J20" s="311">
        <v>0</v>
      </c>
      <c r="K20" s="291">
        <f t="shared" si="0"/>
        <v>431800</v>
      </c>
      <c r="L20" s="323">
        <v>0</v>
      </c>
      <c r="N20" s="327">
        <f>SUM(G11:G31)</f>
        <v>0</v>
      </c>
    </row>
    <row r="21" spans="1:14" s="320" customFormat="1" ht="21">
      <c r="A21" s="324" t="s">
        <v>209</v>
      </c>
      <c r="B21" s="325">
        <v>531000</v>
      </c>
      <c r="C21" s="316">
        <v>175070</v>
      </c>
      <c r="D21" s="317">
        <v>0</v>
      </c>
      <c r="E21" s="318">
        <v>0</v>
      </c>
      <c r="F21" s="317">
        <v>0</v>
      </c>
      <c r="G21" s="318">
        <v>0</v>
      </c>
      <c r="H21" s="318">
        <v>0</v>
      </c>
      <c r="I21" s="318">
        <f>'ใบผ่านรายการ  2'!E13</f>
        <v>14500</v>
      </c>
      <c r="J21" s="317">
        <v>0</v>
      </c>
      <c r="K21" s="316">
        <f t="shared" si="0"/>
        <v>189570</v>
      </c>
      <c r="L21" s="317">
        <v>0</v>
      </c>
      <c r="M21" s="319">
        <f>SUM(K20:K21)</f>
        <v>621370</v>
      </c>
      <c r="N21" s="319">
        <f>C20+C21</f>
        <v>559920</v>
      </c>
    </row>
    <row r="22" spans="1:12" s="313" customFormat="1" ht="21">
      <c r="A22" s="302" t="s">
        <v>1</v>
      </c>
      <c r="B22" s="264">
        <v>532000</v>
      </c>
      <c r="C22" s="284">
        <v>5167091.99</v>
      </c>
      <c r="D22" s="321">
        <v>0</v>
      </c>
      <c r="E22" s="308">
        <f>ใบผ่านทั่วไป!F132</f>
        <v>61800</v>
      </c>
      <c r="F22" s="309">
        <f>ใบผ่านทั่วไป!G92</f>
        <v>188.1</v>
      </c>
      <c r="G22" s="295">
        <v>0</v>
      </c>
      <c r="H22" s="296">
        <f>'ใบผ่านรายการ 1 '!H35</f>
        <v>0</v>
      </c>
      <c r="I22" s="328">
        <f>'ใบผ่านรายการ  2'!E14</f>
        <v>1322732.17</v>
      </c>
      <c r="J22" s="311">
        <v>0</v>
      </c>
      <c r="K22" s="291">
        <f t="shared" si="0"/>
        <v>6551436.0600000005</v>
      </c>
      <c r="L22" s="323">
        <v>0</v>
      </c>
    </row>
    <row r="23" spans="1:13" s="320" customFormat="1" ht="21">
      <c r="A23" s="324" t="s">
        <v>212</v>
      </c>
      <c r="B23" s="325">
        <v>532000</v>
      </c>
      <c r="C23" s="316">
        <v>0</v>
      </c>
      <c r="D23" s="317">
        <v>0</v>
      </c>
      <c r="E23" s="317">
        <v>0</v>
      </c>
      <c r="F23" s="317">
        <v>0</v>
      </c>
      <c r="G23" s="318">
        <v>0</v>
      </c>
      <c r="H23" s="318">
        <v>0</v>
      </c>
      <c r="I23" s="318">
        <v>0</v>
      </c>
      <c r="J23" s="317">
        <v>0</v>
      </c>
      <c r="K23" s="316">
        <f t="shared" si="0"/>
        <v>0</v>
      </c>
      <c r="L23" s="317">
        <v>0</v>
      </c>
      <c r="M23" s="319">
        <f>SUM(K22:K23)</f>
        <v>6551436.0600000005</v>
      </c>
    </row>
    <row r="24" spans="1:12" s="313" customFormat="1" ht="21">
      <c r="A24" s="302" t="s">
        <v>2</v>
      </c>
      <c r="B24" s="264">
        <v>533000</v>
      </c>
      <c r="C24" s="284">
        <v>1422629.22</v>
      </c>
      <c r="D24" s="321">
        <v>0</v>
      </c>
      <c r="E24" s="308">
        <v>0</v>
      </c>
      <c r="F24" s="309">
        <v>0</v>
      </c>
      <c r="G24" s="295">
        <v>0</v>
      </c>
      <c r="H24" s="296">
        <v>0</v>
      </c>
      <c r="I24" s="322">
        <f>'ใบผ่านรายการ  2'!E15</f>
        <v>264157.04</v>
      </c>
      <c r="J24" s="311">
        <v>0</v>
      </c>
      <c r="K24" s="291">
        <f t="shared" si="0"/>
        <v>1686786.26</v>
      </c>
      <c r="L24" s="323">
        <v>0</v>
      </c>
    </row>
    <row r="25" spans="1:13" s="320" customFormat="1" ht="21">
      <c r="A25" s="324" t="s">
        <v>213</v>
      </c>
      <c r="B25" s="325">
        <v>533000</v>
      </c>
      <c r="C25" s="316">
        <v>0</v>
      </c>
      <c r="D25" s="317">
        <v>0</v>
      </c>
      <c r="E25" s="317">
        <v>0</v>
      </c>
      <c r="F25" s="317">
        <v>0</v>
      </c>
      <c r="G25" s="318">
        <v>0</v>
      </c>
      <c r="H25" s="318">
        <v>0</v>
      </c>
      <c r="I25" s="318">
        <v>0</v>
      </c>
      <c r="J25" s="317">
        <v>0</v>
      </c>
      <c r="K25" s="316">
        <f t="shared" si="0"/>
        <v>0</v>
      </c>
      <c r="L25" s="317">
        <v>0</v>
      </c>
      <c r="M25" s="319">
        <f>SUM(K24:K25)</f>
        <v>1686786.26</v>
      </c>
    </row>
    <row r="26" spans="1:12" s="313" customFormat="1" ht="21">
      <c r="A26" s="302" t="s">
        <v>3</v>
      </c>
      <c r="B26" s="264">
        <v>534000</v>
      </c>
      <c r="C26" s="284">
        <v>305384.57</v>
      </c>
      <c r="D26" s="321">
        <v>0</v>
      </c>
      <c r="E26" s="308">
        <v>0</v>
      </c>
      <c r="F26" s="309">
        <v>0</v>
      </c>
      <c r="G26" s="295">
        <v>0</v>
      </c>
      <c r="H26" s="296">
        <f>'ใบผ่านรายการ 1 '!H30</f>
        <v>0</v>
      </c>
      <c r="I26" s="322">
        <f>'ใบผ่านรายการ  2'!E16</f>
        <v>56140.94</v>
      </c>
      <c r="J26" s="311">
        <v>0</v>
      </c>
      <c r="K26" s="291">
        <f t="shared" si="0"/>
        <v>361525.51</v>
      </c>
      <c r="L26" s="323">
        <v>0</v>
      </c>
    </row>
    <row r="27" spans="1:12" s="313" customFormat="1" ht="21">
      <c r="A27" s="302" t="s">
        <v>80</v>
      </c>
      <c r="B27" s="264">
        <v>541000</v>
      </c>
      <c r="C27" s="284">
        <v>385059</v>
      </c>
      <c r="D27" s="321">
        <v>0</v>
      </c>
      <c r="E27" s="308">
        <v>0</v>
      </c>
      <c r="F27" s="309">
        <v>0</v>
      </c>
      <c r="G27" s="295">
        <v>0</v>
      </c>
      <c r="H27" s="296">
        <v>0</v>
      </c>
      <c r="I27" s="322">
        <f>'ใบผ่านรายการ  2'!E18</f>
        <v>0</v>
      </c>
      <c r="J27" s="311">
        <v>0</v>
      </c>
      <c r="K27" s="291">
        <f t="shared" si="0"/>
        <v>385059</v>
      </c>
      <c r="L27" s="323">
        <v>0</v>
      </c>
    </row>
    <row r="28" spans="1:12" s="313" customFormat="1" ht="21">
      <c r="A28" s="302" t="s">
        <v>38</v>
      </c>
      <c r="B28" s="264">
        <v>542000</v>
      </c>
      <c r="C28" s="284">
        <v>491000</v>
      </c>
      <c r="D28" s="321">
        <v>0</v>
      </c>
      <c r="E28" s="308">
        <v>0</v>
      </c>
      <c r="F28" s="309">
        <v>0</v>
      </c>
      <c r="G28" s="295">
        <v>0</v>
      </c>
      <c r="H28" s="296">
        <v>0</v>
      </c>
      <c r="I28" s="322">
        <f>'ใบผ่านรายการ  2'!E19</f>
        <v>0</v>
      </c>
      <c r="J28" s="311">
        <v>0</v>
      </c>
      <c r="K28" s="291">
        <f>C28+E28+G28+I28-D28-F28-H28-J28</f>
        <v>491000</v>
      </c>
      <c r="L28" s="323">
        <v>0</v>
      </c>
    </row>
    <row r="29" spans="1:13" s="313" customFormat="1" ht="21">
      <c r="A29" s="329" t="s">
        <v>235</v>
      </c>
      <c r="B29" s="264">
        <v>542000</v>
      </c>
      <c r="C29" s="284">
        <v>0</v>
      </c>
      <c r="D29" s="321">
        <v>0</v>
      </c>
      <c r="E29" s="308">
        <v>0</v>
      </c>
      <c r="F29" s="309"/>
      <c r="G29" s="295">
        <v>0</v>
      </c>
      <c r="H29" s="296"/>
      <c r="I29" s="322">
        <f>'ใบผ่านรายการ  2'!E21</f>
        <v>0</v>
      </c>
      <c r="J29" s="311">
        <v>0</v>
      </c>
      <c r="K29" s="291">
        <f>C29+E29+G29+I29-D29-F29-H29-J29</f>
        <v>0</v>
      </c>
      <c r="L29" s="323">
        <v>0</v>
      </c>
      <c r="M29" s="327">
        <f>SUM(K28:K30)</f>
        <v>491000</v>
      </c>
    </row>
    <row r="30" spans="1:12" s="313" customFormat="1" ht="21">
      <c r="A30" s="329" t="s">
        <v>305</v>
      </c>
      <c r="B30" s="264">
        <v>542000</v>
      </c>
      <c r="C30" s="284">
        <v>0</v>
      </c>
      <c r="D30" s="321">
        <v>0</v>
      </c>
      <c r="E30" s="308"/>
      <c r="F30" s="309"/>
      <c r="G30" s="295">
        <v>0</v>
      </c>
      <c r="H30" s="296"/>
      <c r="I30" s="322">
        <f>'ใบผ่านรายการ  2'!E20</f>
        <v>0</v>
      </c>
      <c r="J30" s="311">
        <v>0</v>
      </c>
      <c r="K30" s="291">
        <f>C30+E30+G30+I30-D30-F30-H30-J30</f>
        <v>0</v>
      </c>
      <c r="L30" s="323">
        <v>0</v>
      </c>
    </row>
    <row r="31" spans="1:12" s="313" customFormat="1" ht="21">
      <c r="A31" s="302" t="s">
        <v>39</v>
      </c>
      <c r="B31" s="264">
        <v>551000</v>
      </c>
      <c r="C31" s="284">
        <v>0</v>
      </c>
      <c r="D31" s="321">
        <v>0</v>
      </c>
      <c r="E31" s="308">
        <v>0</v>
      </c>
      <c r="F31" s="309">
        <v>0</v>
      </c>
      <c r="G31" s="295">
        <v>0</v>
      </c>
      <c r="H31" s="296">
        <v>0</v>
      </c>
      <c r="I31" s="322">
        <f>'ใบผ่านรายการ  2'!E22</f>
        <v>0</v>
      </c>
      <c r="J31" s="311">
        <v>0</v>
      </c>
      <c r="K31" s="291">
        <f t="shared" si="0"/>
        <v>0</v>
      </c>
      <c r="L31" s="323">
        <v>0</v>
      </c>
    </row>
    <row r="32" spans="1:12" s="313" customFormat="1" ht="21">
      <c r="A32" s="302" t="s">
        <v>4</v>
      </c>
      <c r="B32" s="264">
        <v>561000</v>
      </c>
      <c r="C32" s="284">
        <v>1264578.93</v>
      </c>
      <c r="D32" s="321">
        <v>0</v>
      </c>
      <c r="E32" s="308">
        <v>0</v>
      </c>
      <c r="F32" s="294">
        <v>0</v>
      </c>
      <c r="G32" s="295">
        <v>0</v>
      </c>
      <c r="H32" s="296">
        <v>0</v>
      </c>
      <c r="I32" s="322">
        <f>'ใบผ่านรายการ  2'!E17</f>
        <v>200000</v>
      </c>
      <c r="J32" s="311">
        <v>0</v>
      </c>
      <c r="K32" s="291">
        <f>C32+E32+G32+I32-D32-F32-H32-J32</f>
        <v>1464578.93</v>
      </c>
      <c r="L32" s="323">
        <v>0</v>
      </c>
    </row>
    <row r="33" spans="1:12" s="313" customFormat="1" ht="21">
      <c r="A33" s="302" t="s">
        <v>94</v>
      </c>
      <c r="B33" s="264">
        <v>121000</v>
      </c>
      <c r="C33" s="284">
        <v>12048610</v>
      </c>
      <c r="D33" s="321">
        <v>0</v>
      </c>
      <c r="E33" s="308">
        <v>0</v>
      </c>
      <c r="F33" s="309">
        <v>0</v>
      </c>
      <c r="G33" s="295">
        <v>0</v>
      </c>
      <c r="H33" s="296">
        <v>0</v>
      </c>
      <c r="I33" s="322">
        <f>'ใบผ่านรายการ  2'!E31</f>
        <v>0</v>
      </c>
      <c r="J33" s="311">
        <v>0</v>
      </c>
      <c r="K33" s="291">
        <f>C33+E33+G33+I33-D33-F33-H33-J33</f>
        <v>12048610</v>
      </c>
      <c r="L33" s="323">
        <v>0</v>
      </c>
    </row>
    <row r="34" spans="1:12" s="313" customFormat="1" ht="21">
      <c r="A34" s="302" t="s">
        <v>96</v>
      </c>
      <c r="B34" s="264">
        <v>221102</v>
      </c>
      <c r="C34" s="284" t="s">
        <v>405</v>
      </c>
      <c r="D34" s="306">
        <v>1851939</v>
      </c>
      <c r="E34" s="308">
        <v>0</v>
      </c>
      <c r="F34" s="309">
        <v>0</v>
      </c>
      <c r="G34" s="295">
        <v>0</v>
      </c>
      <c r="H34" s="296">
        <v>0</v>
      </c>
      <c r="I34" s="322">
        <v>0</v>
      </c>
      <c r="J34" s="311">
        <v>0</v>
      </c>
      <c r="K34" s="291">
        <v>0</v>
      </c>
      <c r="L34" s="298">
        <f>SUM(D34+F34+H34+J34)-(E34+G34+I34-K34)</f>
        <v>1851939</v>
      </c>
    </row>
    <row r="35" spans="1:12" s="313" customFormat="1" ht="21">
      <c r="A35" s="302" t="s">
        <v>115</v>
      </c>
      <c r="B35" s="264">
        <v>221202</v>
      </c>
      <c r="C35" s="284">
        <v>0</v>
      </c>
      <c r="D35" s="306">
        <v>6860945.88</v>
      </c>
      <c r="E35" s="308">
        <v>0</v>
      </c>
      <c r="F35" s="309">
        <v>0</v>
      </c>
      <c r="G35" s="295">
        <v>0</v>
      </c>
      <c r="H35" s="296">
        <f>'ใบผ่านรายการ 1 '!H15</f>
        <v>0</v>
      </c>
      <c r="I35" s="322">
        <v>0</v>
      </c>
      <c r="J35" s="311">
        <v>0</v>
      </c>
      <c r="K35" s="291">
        <v>0</v>
      </c>
      <c r="L35" s="298">
        <f>SUM(D35+F35+H35+J35)-(E35+G35+I35-K35)</f>
        <v>6860945.88</v>
      </c>
    </row>
    <row r="36" spans="1:12" s="313" customFormat="1" ht="21">
      <c r="A36" s="302" t="s">
        <v>146</v>
      </c>
      <c r="B36" s="264">
        <v>123003</v>
      </c>
      <c r="C36" s="284">
        <v>0</v>
      </c>
      <c r="D36" s="306">
        <v>0</v>
      </c>
      <c r="E36" s="308"/>
      <c r="F36" s="309">
        <v>0</v>
      </c>
      <c r="G36" s="295">
        <v>0</v>
      </c>
      <c r="H36" s="296"/>
      <c r="I36" s="322"/>
      <c r="J36" s="311"/>
      <c r="K36" s="291">
        <f>C36+E36+G36+I36-D36-F36-H36-J36</f>
        <v>0</v>
      </c>
      <c r="L36" s="298"/>
    </row>
    <row r="37" spans="1:16" ht="21" hidden="1">
      <c r="A37" s="302" t="s">
        <v>95</v>
      </c>
      <c r="B37" s="264"/>
      <c r="C37" s="284">
        <v>0</v>
      </c>
      <c r="D37" s="306">
        <v>0</v>
      </c>
      <c r="E37" s="305">
        <v>0</v>
      </c>
      <c r="F37" s="294">
        <v>0</v>
      </c>
      <c r="G37" s="295">
        <v>0</v>
      </c>
      <c r="H37" s="296">
        <v>0</v>
      </c>
      <c r="I37" s="322">
        <v>0</v>
      </c>
      <c r="J37" s="297">
        <v>0</v>
      </c>
      <c r="K37" s="291">
        <v>0</v>
      </c>
      <c r="L37" s="298">
        <f>SUM(D37+F37+H37+J37)-(E37+G37+I37-K37)</f>
        <v>0</v>
      </c>
      <c r="M37" s="269" t="s">
        <v>165</v>
      </c>
      <c r="N37" s="299">
        <f>K11+K13+K14+K16+K18+K20+K22+K24+K26+K32+K27+K28+K31</f>
        <v>37096863.58</v>
      </c>
      <c r="O37" s="269">
        <v>27141104.54</v>
      </c>
      <c r="P37" s="299">
        <f>O37-N37</f>
        <v>-9955759.04</v>
      </c>
    </row>
    <row r="38" spans="1:14" ht="21">
      <c r="A38" s="302" t="s">
        <v>81</v>
      </c>
      <c r="B38" s="264">
        <v>211000</v>
      </c>
      <c r="C38" s="284">
        <v>0</v>
      </c>
      <c r="D38" s="306">
        <v>5461418.85</v>
      </c>
      <c r="E38" s="305">
        <v>0</v>
      </c>
      <c r="F38" s="294">
        <v>0</v>
      </c>
      <c r="G38" s="295">
        <v>0</v>
      </c>
      <c r="H38" s="296">
        <v>0</v>
      </c>
      <c r="I38" s="322">
        <f>'ใบผ่านรายการ  2'!E28</f>
        <v>0</v>
      </c>
      <c r="J38" s="297">
        <v>0</v>
      </c>
      <c r="K38" s="291">
        <v>0</v>
      </c>
      <c r="L38" s="298">
        <f>SUM(D38+F38+H38+J38)-(E38+G38+I38-K38)</f>
        <v>5461418.85</v>
      </c>
      <c r="M38" s="269" t="s">
        <v>166</v>
      </c>
      <c r="N38" s="299" t="e">
        <f>#REF!+K15+K17+K19+K21+K23+K25+K29+K30</f>
        <v>#REF!</v>
      </c>
    </row>
    <row r="39" spans="1:14" ht="21">
      <c r="A39" s="330" t="s">
        <v>314</v>
      </c>
      <c r="B39" s="331">
        <v>211000</v>
      </c>
      <c r="C39" s="284"/>
      <c r="D39" s="306">
        <v>0</v>
      </c>
      <c r="E39" s="332"/>
      <c r="F39" s="333"/>
      <c r="G39" s="295">
        <v>0</v>
      </c>
      <c r="H39" s="334"/>
      <c r="I39" s="335">
        <f>'ใบผ่านรายการ  2'!E27</f>
        <v>0</v>
      </c>
      <c r="J39" s="336"/>
      <c r="K39" s="337"/>
      <c r="L39" s="298">
        <f>SUM(D39+F39+H39+J39)-(E39+G39+I39-K39)</f>
        <v>0</v>
      </c>
      <c r="M39" s="269"/>
      <c r="N39" s="299"/>
    </row>
    <row r="40" spans="1:14" ht="21">
      <c r="A40" s="330" t="s">
        <v>315</v>
      </c>
      <c r="B40" s="338">
        <v>211000</v>
      </c>
      <c r="C40" s="284">
        <v>0</v>
      </c>
      <c r="D40" s="339">
        <v>0</v>
      </c>
      <c r="E40" s="332">
        <v>0</v>
      </c>
      <c r="F40" s="333">
        <v>0</v>
      </c>
      <c r="G40" s="295">
        <v>0</v>
      </c>
      <c r="H40" s="334">
        <v>0</v>
      </c>
      <c r="I40" s="340">
        <f>'ใบผ่านรายการ  2'!E29</f>
        <v>0</v>
      </c>
      <c r="J40" s="336">
        <v>0</v>
      </c>
      <c r="K40" s="341"/>
      <c r="L40" s="342">
        <f>D40+F40+H40+J40-C40-E40-G40-I40</f>
        <v>0</v>
      </c>
      <c r="M40" s="343">
        <f>SUM(L38:L40)</f>
        <v>5461418.85</v>
      </c>
      <c r="N40" s="269"/>
    </row>
    <row r="41" spans="1:14" ht="21">
      <c r="A41" s="302" t="s">
        <v>7</v>
      </c>
      <c r="B41" s="344">
        <v>310000</v>
      </c>
      <c r="C41" s="284">
        <v>0</v>
      </c>
      <c r="D41" s="284">
        <v>21444057.76</v>
      </c>
      <c r="E41" s="305">
        <v>0</v>
      </c>
      <c r="F41" s="294">
        <v>0</v>
      </c>
      <c r="G41" s="295">
        <v>0</v>
      </c>
      <c r="H41" s="296">
        <f>'ใบผ่านรายการ 1 '!H33</f>
        <v>0</v>
      </c>
      <c r="I41" s="322">
        <f>'ใบผ่านรายการ  2'!E30</f>
        <v>591000</v>
      </c>
      <c r="J41" s="297">
        <v>0</v>
      </c>
      <c r="K41" s="345">
        <v>0</v>
      </c>
      <c r="L41" s="298">
        <f>D41+F41+H41+J41-C41-E41-G41-I41-K41</f>
        <v>20853057.76</v>
      </c>
      <c r="M41" s="269"/>
      <c r="N41" s="299" t="e">
        <f>SUM(N37:N38)</f>
        <v>#REF!</v>
      </c>
    </row>
    <row r="42" spans="1:14" ht="21">
      <c r="A42" s="302" t="s">
        <v>40</v>
      </c>
      <c r="B42" s="264">
        <v>320000</v>
      </c>
      <c r="C42" s="284">
        <v>0</v>
      </c>
      <c r="D42" s="306">
        <v>10125619.53</v>
      </c>
      <c r="E42" s="305">
        <v>0</v>
      </c>
      <c r="F42" s="294">
        <v>0</v>
      </c>
      <c r="G42" s="295">
        <v>0</v>
      </c>
      <c r="H42" s="296">
        <v>0</v>
      </c>
      <c r="I42" s="322">
        <v>0</v>
      </c>
      <c r="J42" s="297">
        <v>0</v>
      </c>
      <c r="K42" s="291">
        <v>0</v>
      </c>
      <c r="L42" s="298">
        <f>SUM(D42+F42+H42+K42)-(E42+G42+I42)</f>
        <v>10125619.53</v>
      </c>
      <c r="M42" s="269"/>
      <c r="N42" s="269"/>
    </row>
    <row r="43" spans="1:14" ht="21">
      <c r="A43" s="330" t="s">
        <v>360</v>
      </c>
      <c r="B43" s="346">
        <v>113100</v>
      </c>
      <c r="C43" s="347">
        <v>3500</v>
      </c>
      <c r="D43" s="348">
        <v>0</v>
      </c>
      <c r="E43" s="332">
        <v>0</v>
      </c>
      <c r="F43" s="333">
        <f>ใบผ่านทั่วไป!G8+ใบผ่านทั่วไป!G133</f>
        <v>528700</v>
      </c>
      <c r="G43" s="295">
        <v>0</v>
      </c>
      <c r="H43" s="334">
        <f>'ใบผ่านรายการ 1 '!H32+'ใบผ่านรายการ 1 '!H34</f>
        <v>29500</v>
      </c>
      <c r="I43" s="340">
        <f>'ใบผ่านรายการ  2'!E24</f>
        <v>558200</v>
      </c>
      <c r="J43" s="336">
        <v>0</v>
      </c>
      <c r="K43" s="349">
        <f>C43+E43+G43+I43-D43-F43-H43-J43</f>
        <v>3500</v>
      </c>
      <c r="L43" s="342">
        <v>0</v>
      </c>
      <c r="M43" s="269"/>
      <c r="N43" s="269"/>
    </row>
    <row r="44" spans="1:14" ht="21">
      <c r="A44" s="302" t="s">
        <v>36</v>
      </c>
      <c r="B44" s="264">
        <v>113700</v>
      </c>
      <c r="C44" s="306">
        <v>0</v>
      </c>
      <c r="D44" s="306">
        <v>0</v>
      </c>
      <c r="E44" s="305">
        <v>0</v>
      </c>
      <c r="F44" s="294">
        <v>0</v>
      </c>
      <c r="G44" s="295">
        <v>0</v>
      </c>
      <c r="H44" s="296">
        <v>0</v>
      </c>
      <c r="I44" s="307">
        <f>'ใบผ่านรายการ  2'!E25</f>
        <v>0</v>
      </c>
      <c r="J44" s="297">
        <v>0</v>
      </c>
      <c r="K44" s="291">
        <f>C44-D44+E44-F44+G44-H44+I44-J44</f>
        <v>0</v>
      </c>
      <c r="L44" s="298">
        <v>0</v>
      </c>
      <c r="M44" s="269"/>
      <c r="N44" s="269"/>
    </row>
    <row r="45" spans="1:14" ht="21">
      <c r="A45" s="302" t="s">
        <v>330</v>
      </c>
      <c r="B45" s="264">
        <v>113800</v>
      </c>
      <c r="C45" s="284">
        <v>0</v>
      </c>
      <c r="D45" s="306">
        <v>0</v>
      </c>
      <c r="E45" s="305">
        <v>0</v>
      </c>
      <c r="F45" s="294">
        <v>0</v>
      </c>
      <c r="G45" s="295">
        <v>0</v>
      </c>
      <c r="H45" s="296">
        <v>0</v>
      </c>
      <c r="I45" s="307">
        <f>'ใบผ่านรายการ  2'!E26</f>
        <v>0</v>
      </c>
      <c r="J45" s="297">
        <v>0</v>
      </c>
      <c r="K45" s="291">
        <f>C45-D45+E45-F45+G45-H45+I45-J45</f>
        <v>0</v>
      </c>
      <c r="L45" s="298">
        <v>0</v>
      </c>
      <c r="M45" s="269"/>
      <c r="N45" s="269"/>
    </row>
    <row r="46" spans="1:14" ht="21">
      <c r="A46" s="302" t="s">
        <v>233</v>
      </c>
      <c r="B46" s="264">
        <v>113600</v>
      </c>
      <c r="C46" s="284">
        <v>0</v>
      </c>
      <c r="D46" s="306"/>
      <c r="E46" s="305">
        <v>0</v>
      </c>
      <c r="F46" s="294">
        <v>0</v>
      </c>
      <c r="G46" s="295">
        <v>0</v>
      </c>
      <c r="H46" s="296"/>
      <c r="I46" s="307"/>
      <c r="J46" s="297"/>
      <c r="K46" s="291">
        <v>0</v>
      </c>
      <c r="L46" s="298"/>
      <c r="M46" s="269"/>
      <c r="N46" s="269"/>
    </row>
    <row r="47" spans="1:14" ht="21">
      <c r="A47" s="302" t="s">
        <v>309</v>
      </c>
      <c r="B47" s="264">
        <v>113600</v>
      </c>
      <c r="C47" s="284">
        <v>0</v>
      </c>
      <c r="D47" s="306"/>
      <c r="E47" s="305">
        <v>0</v>
      </c>
      <c r="F47" s="294"/>
      <c r="G47" s="295">
        <v>0</v>
      </c>
      <c r="H47" s="296">
        <v>0</v>
      </c>
      <c r="I47" s="307"/>
      <c r="J47" s="297"/>
      <c r="K47" s="291">
        <f>C47+E47+G47+I47-D47-F47-H47-J47</f>
        <v>0</v>
      </c>
      <c r="L47" s="298"/>
      <c r="M47" s="269"/>
      <c r="N47" s="269"/>
    </row>
    <row r="48" spans="1:14" ht="21">
      <c r="A48" s="302" t="s">
        <v>146</v>
      </c>
      <c r="B48" s="264">
        <v>112300</v>
      </c>
      <c r="C48" s="284">
        <v>0</v>
      </c>
      <c r="D48" s="306"/>
      <c r="E48" s="305">
        <v>0</v>
      </c>
      <c r="F48" s="294"/>
      <c r="G48" s="295">
        <v>0</v>
      </c>
      <c r="H48" s="296">
        <v>0</v>
      </c>
      <c r="I48" s="307"/>
      <c r="J48" s="297"/>
      <c r="K48" s="291">
        <f>C48+E48+G48+I48-D48-F48-H48-J48</f>
        <v>0</v>
      </c>
      <c r="L48" s="298"/>
      <c r="M48" s="269"/>
      <c r="N48" s="269"/>
    </row>
    <row r="49" spans="1:14" ht="21">
      <c r="A49" s="302" t="s">
        <v>41</v>
      </c>
      <c r="B49" s="264">
        <v>400000</v>
      </c>
      <c r="C49" s="284">
        <v>0</v>
      </c>
      <c r="D49" s="306">
        <v>42439007.01</v>
      </c>
      <c r="E49" s="305">
        <v>0</v>
      </c>
      <c r="F49" s="294">
        <v>0</v>
      </c>
      <c r="G49" s="295">
        <v>0</v>
      </c>
      <c r="H49" s="296">
        <f>'ใบผ่านรายการ 1 '!H13</f>
        <v>2245709.83</v>
      </c>
      <c r="I49" s="307">
        <f>'ใบผ่านรายการ  2'!E48</f>
        <v>0</v>
      </c>
      <c r="J49" s="297">
        <f>'ใบผ่านรายการ  2'!F48</f>
        <v>0</v>
      </c>
      <c r="K49" s="291">
        <v>0</v>
      </c>
      <c r="L49" s="298">
        <f>D49+F49+H49+J49-C49-E49-G49-I49</f>
        <v>44684716.839999996</v>
      </c>
      <c r="M49" s="269"/>
      <c r="N49" s="269"/>
    </row>
    <row r="50" spans="1:12" s="354" customFormat="1" ht="21">
      <c r="A50" s="302" t="s">
        <v>42</v>
      </c>
      <c r="B50" s="264">
        <v>215000</v>
      </c>
      <c r="C50" s="350">
        <v>0</v>
      </c>
      <c r="D50" s="351">
        <v>279350.05</v>
      </c>
      <c r="E50" s="305">
        <f>ใบผ่านทั่วไป!F91</f>
        <v>188.1</v>
      </c>
      <c r="F50" s="294">
        <v>0</v>
      </c>
      <c r="G50" s="295">
        <v>0</v>
      </c>
      <c r="H50" s="296">
        <f>'ใบผ่านรายการ 1 '!I20</f>
        <v>55940.49</v>
      </c>
      <c r="I50" s="352">
        <f>'ใบผ่านรายการ  2'!G46</f>
        <v>23052.5</v>
      </c>
      <c r="J50" s="353">
        <f>'ใบผ่านรายการ  2'!H46</f>
        <v>25738.89</v>
      </c>
      <c r="K50" s="291">
        <v>0</v>
      </c>
      <c r="L50" s="298">
        <f>D50+F50+H50+J50-C50-E50-G50-I50</f>
        <v>337788.83</v>
      </c>
    </row>
    <row r="51" spans="1:12" s="354" customFormat="1" ht="21">
      <c r="A51" s="330" t="s">
        <v>312</v>
      </c>
      <c r="B51" s="355">
        <v>140300</v>
      </c>
      <c r="C51" s="356">
        <v>50</v>
      </c>
      <c r="D51" s="351">
        <v>0</v>
      </c>
      <c r="E51" s="305">
        <v>0</v>
      </c>
      <c r="F51" s="294">
        <v>0</v>
      </c>
      <c r="G51" s="295">
        <v>0</v>
      </c>
      <c r="H51" s="296">
        <v>0</v>
      </c>
      <c r="I51" s="352">
        <v>0</v>
      </c>
      <c r="J51" s="353">
        <v>0</v>
      </c>
      <c r="K51" s="357">
        <f>C51+E51+G51+I51-D51-F51-H51-J51</f>
        <v>50</v>
      </c>
      <c r="L51" s="298">
        <v>0</v>
      </c>
    </row>
    <row r="52" spans="1:12" s="354" customFormat="1" ht="21">
      <c r="A52" s="358" t="s">
        <v>313</v>
      </c>
      <c r="B52" s="359">
        <v>240100</v>
      </c>
      <c r="C52" s="360"/>
      <c r="D52" s="361">
        <v>50</v>
      </c>
      <c r="E52" s="362">
        <v>0</v>
      </c>
      <c r="F52" s="294">
        <v>0</v>
      </c>
      <c r="G52" s="295">
        <v>0</v>
      </c>
      <c r="H52" s="363"/>
      <c r="I52" s="364"/>
      <c r="J52" s="365"/>
      <c r="K52" s="366"/>
      <c r="L52" s="367">
        <f>D52+F52+H52+J52-C52-E52-G52-I52</f>
        <v>50</v>
      </c>
    </row>
    <row r="53" spans="1:14" ht="21.75" thickBot="1">
      <c r="A53" s="368"/>
      <c r="B53" s="91"/>
      <c r="C53" s="369">
        <f>SUM(C3:C52)</f>
        <v>88462388.08</v>
      </c>
      <c r="D53" s="369">
        <f>SUM(D34:D52)</f>
        <v>88462388.08</v>
      </c>
      <c r="E53" s="369">
        <f aca="true" t="shared" si="1" ref="E53:L53">SUM(E3:E52)</f>
        <v>5586238.8</v>
      </c>
      <c r="F53" s="369">
        <f t="shared" si="1"/>
        <v>5586238.8</v>
      </c>
      <c r="G53" s="369">
        <f t="shared" si="1"/>
        <v>2400194.3200000003</v>
      </c>
      <c r="H53" s="369">
        <f t="shared" si="1"/>
        <v>2400194.3200000003</v>
      </c>
      <c r="I53" s="369">
        <f t="shared" si="1"/>
        <v>4979379.65</v>
      </c>
      <c r="J53" s="369">
        <f t="shared" si="1"/>
        <v>4979379.649999999</v>
      </c>
      <c r="K53" s="369">
        <f t="shared" si="1"/>
        <v>90175536.69000003</v>
      </c>
      <c r="L53" s="369">
        <f t="shared" si="1"/>
        <v>90175536.69</v>
      </c>
      <c r="M53" s="269"/>
      <c r="N53" s="269"/>
    </row>
    <row r="54" spans="1:11" ht="21.75" thickTop="1">
      <c r="A54" s="370"/>
      <c r="B54" s="371"/>
      <c r="C54" s="372">
        <f>C53-D53</f>
        <v>0</v>
      </c>
      <c r="D54" s="373"/>
      <c r="E54" s="374">
        <f>E53-F53</f>
        <v>0</v>
      </c>
      <c r="G54" s="376">
        <f>G53-H53</f>
        <v>0</v>
      </c>
      <c r="I54" s="378">
        <f>I53-J53</f>
        <v>0</v>
      </c>
      <c r="K54" s="380">
        <f>K53-L53</f>
        <v>0</v>
      </c>
    </row>
    <row r="55" spans="1:5" ht="21">
      <c r="A55" s="382"/>
      <c r="B55" s="382"/>
      <c r="C55" s="383"/>
      <c r="D55" s="384"/>
      <c r="E55" s="385"/>
    </row>
    <row r="56" spans="2:3" ht="21">
      <c r="B56" s="803"/>
      <c r="C56" s="803"/>
    </row>
    <row r="57" ht="21">
      <c r="B57" s="388"/>
    </row>
    <row r="58" spans="1:5" ht="21">
      <c r="A58" s="355"/>
      <c r="B58" s="802"/>
      <c r="C58" s="802"/>
      <c r="D58" s="390"/>
      <c r="E58" s="391"/>
    </row>
    <row r="59" spans="2:3" ht="21">
      <c r="B59" s="802"/>
      <c r="C59" s="802"/>
    </row>
  </sheetData>
  <sheetProtection/>
  <mergeCells count="4">
    <mergeCell ref="B58:C58"/>
    <mergeCell ref="B59:C59"/>
    <mergeCell ref="B56:C56"/>
    <mergeCell ref="A1:L1"/>
  </mergeCells>
  <printOptions horizontalCentered="1"/>
  <pageMargins left="0.14" right="0" top="0.3937007874015748" bottom="0.3937007874015748" header="0.2362204724409449" footer="0.15748031496062992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53"/>
  <sheetViews>
    <sheetView view="pageBreakPreview" zoomScaleSheetLayoutView="100" zoomScalePageLayoutView="0" workbookViewId="0" topLeftCell="A10">
      <selection activeCell="D38" sqref="D38"/>
    </sheetView>
  </sheetViews>
  <sheetFormatPr defaultColWidth="9.140625" defaultRowHeight="21.75"/>
  <cols>
    <col min="1" max="1" width="44.00390625" style="1" customWidth="1"/>
    <col min="2" max="2" width="15.421875" style="1" customWidth="1"/>
    <col min="3" max="4" width="27.8515625" style="1" customWidth="1"/>
    <col min="5" max="5" width="20.28125" style="1" customWidth="1"/>
    <col min="6" max="6" width="25.28125" style="1" customWidth="1"/>
    <col min="7" max="7" width="20.28125" style="1" customWidth="1"/>
    <col min="8" max="16384" width="9.140625" style="1" customWidth="1"/>
  </cols>
  <sheetData>
    <row r="1" spans="1:4" ht="19.5" customHeight="1">
      <c r="A1" s="744" t="s">
        <v>37</v>
      </c>
      <c r="B1" s="744"/>
      <c r="C1" s="744"/>
      <c r="D1" s="744"/>
    </row>
    <row r="2" spans="1:4" ht="19.5" customHeight="1">
      <c r="A2" s="744" t="s">
        <v>77</v>
      </c>
      <c r="B2" s="744"/>
      <c r="C2" s="744"/>
      <c r="D2" s="744"/>
    </row>
    <row r="3" spans="1:4" ht="19.5" customHeight="1">
      <c r="A3" s="807" t="s">
        <v>706</v>
      </c>
      <c r="B3" s="807"/>
      <c r="C3" s="807"/>
      <c r="D3" s="807"/>
    </row>
    <row r="4" spans="1:4" ht="18" customHeight="1">
      <c r="A4" s="392" t="s">
        <v>8</v>
      </c>
      <c r="B4" s="392" t="s">
        <v>47</v>
      </c>
      <c r="C4" s="392" t="s">
        <v>9</v>
      </c>
      <c r="D4" s="392" t="s">
        <v>10</v>
      </c>
    </row>
    <row r="5" spans="1:4" ht="18" customHeight="1">
      <c r="A5" s="393" t="s">
        <v>78</v>
      </c>
      <c r="B5" s="394">
        <v>110100</v>
      </c>
      <c r="C5" s="234">
        <f>กระดาษทำการ!K3</f>
        <v>0</v>
      </c>
      <c r="D5" s="395"/>
    </row>
    <row r="6" spans="1:7" ht="18" customHeight="1">
      <c r="A6" s="393" t="s">
        <v>25</v>
      </c>
      <c r="B6" s="394">
        <f>กระดาษทำการ!B4</f>
        <v>111203</v>
      </c>
      <c r="C6" s="396">
        <f>กระดาษทำการ!K4</f>
        <v>383266.35000000056</v>
      </c>
      <c r="D6" s="234"/>
      <c r="E6" s="184"/>
      <c r="F6" s="397" t="s">
        <v>7</v>
      </c>
      <c r="G6" s="184">
        <f>D28-C11</f>
        <v>15606736.530000001</v>
      </c>
    </row>
    <row r="7" spans="1:7" ht="18" customHeight="1">
      <c r="A7" s="393" t="s">
        <v>102</v>
      </c>
      <c r="B7" s="398" t="str">
        <f>กระดาษทำการ!B5</f>
        <v>111201</v>
      </c>
      <c r="C7" s="399">
        <f>กระดาษทำการ!K5</f>
        <v>34048631.42</v>
      </c>
      <c r="D7" s="234"/>
      <c r="E7" s="184"/>
      <c r="F7" s="397" t="s">
        <v>40</v>
      </c>
      <c r="G7" s="184">
        <f>D29</f>
        <v>10125619.53</v>
      </c>
    </row>
    <row r="8" spans="1:7" ht="18" customHeight="1">
      <c r="A8" s="397" t="s">
        <v>131</v>
      </c>
      <c r="B8" s="400">
        <f>กระดาษทำการ!B6</f>
        <v>111202</v>
      </c>
      <c r="C8" s="399">
        <f>กระดาษทำการ!K6</f>
        <v>957762.87</v>
      </c>
      <c r="D8" s="234"/>
      <c r="E8" s="184">
        <f>SUM(C6:C10)</f>
        <v>35518902.63</v>
      </c>
      <c r="F8" s="397" t="s">
        <v>142</v>
      </c>
      <c r="G8" s="184">
        <f>D26</f>
        <v>5461418.85</v>
      </c>
    </row>
    <row r="9" spans="1:7" ht="18" customHeight="1">
      <c r="A9" s="397" t="s">
        <v>134</v>
      </c>
      <c r="B9" s="400" t="str">
        <f>กระดาษทำการ!B7</f>
        <v>111201-1</v>
      </c>
      <c r="C9" s="399">
        <f>กระดาษทำการ!K7</f>
        <v>77.13</v>
      </c>
      <c r="D9" s="234"/>
      <c r="F9" s="302" t="s">
        <v>95</v>
      </c>
      <c r="G9" s="184">
        <f>D27</f>
        <v>0</v>
      </c>
    </row>
    <row r="10" spans="1:7" ht="18" customHeight="1">
      <c r="A10" s="397" t="s">
        <v>122</v>
      </c>
      <c r="B10" s="400" t="str">
        <f>กระดาษทำการ!B8</f>
        <v>111201-2</v>
      </c>
      <c r="C10" s="399">
        <f>กระดาษทำการ!K8</f>
        <v>129164.86</v>
      </c>
      <c r="D10" s="234"/>
      <c r="F10" s="397" t="s">
        <v>42</v>
      </c>
      <c r="G10" s="184">
        <f>D39</f>
        <v>337788.83</v>
      </c>
    </row>
    <row r="11" spans="1:7" ht="18" customHeight="1">
      <c r="A11" s="397" t="s">
        <v>43</v>
      </c>
      <c r="B11" s="400">
        <v>112002</v>
      </c>
      <c r="C11" s="399">
        <f>กระดาษทำการ!K9</f>
        <v>5246321.23</v>
      </c>
      <c r="D11" s="234"/>
      <c r="F11" s="1" t="s">
        <v>164</v>
      </c>
      <c r="G11" s="184">
        <f>D38-E18</f>
        <v>7326614.009999998</v>
      </c>
    </row>
    <row r="12" spans="1:7" ht="18" customHeight="1">
      <c r="A12" s="397" t="s">
        <v>249</v>
      </c>
      <c r="B12" s="400">
        <v>113200</v>
      </c>
      <c r="C12" s="399">
        <f>กระดาษทำการ!K10</f>
        <v>50</v>
      </c>
      <c r="D12" s="234"/>
      <c r="E12" s="184"/>
      <c r="G12" s="184"/>
    </row>
    <row r="13" spans="1:7" ht="18" customHeight="1">
      <c r="A13" s="393" t="s">
        <v>45</v>
      </c>
      <c r="B13" s="394">
        <v>511000</v>
      </c>
      <c r="C13" s="401">
        <f>กระดาษทำการ!K11</f>
        <v>7867939.47</v>
      </c>
      <c r="D13" s="234"/>
      <c r="F13" s="1" t="s">
        <v>70</v>
      </c>
      <c r="G13" s="184">
        <f>SUM(G6:G11)</f>
        <v>38858177.75</v>
      </c>
    </row>
    <row r="14" spans="1:7" ht="18" customHeight="1">
      <c r="A14" s="393" t="s">
        <v>625</v>
      </c>
      <c r="B14" s="394">
        <v>511000</v>
      </c>
      <c r="C14" s="401">
        <f>กระดาษทำการ!K12</f>
        <v>71669.25</v>
      </c>
      <c r="D14" s="234"/>
      <c r="E14" s="184">
        <f>C13+C14</f>
        <v>7939608.72</v>
      </c>
      <c r="G14" s="184"/>
    </row>
    <row r="15" spans="1:7" ht="18" customHeight="1">
      <c r="A15" s="397" t="s">
        <v>186</v>
      </c>
      <c r="B15" s="400">
        <v>521000</v>
      </c>
      <c r="C15" s="401">
        <f>กระดาษทำการ!K13</f>
        <v>2405920</v>
      </c>
      <c r="D15" s="234"/>
      <c r="E15" s="184">
        <f>SUM(C15:C16)</f>
        <v>17856738.35</v>
      </c>
      <c r="G15" s="184"/>
    </row>
    <row r="16" spans="1:5" ht="18" customHeight="1">
      <c r="A16" s="402" t="s">
        <v>187</v>
      </c>
      <c r="B16" s="403">
        <v>522000</v>
      </c>
      <c r="C16" s="404">
        <f>กระดาษทำการ!K14+กระดาษทำการ!K15+กระดาษทำการ!K16+กระดาษทำการ!K17+กระดาษทำการ!K18+กระดาษทำการ!K19</f>
        <v>15450818.35</v>
      </c>
      <c r="D16" s="405"/>
      <c r="E16" s="184"/>
    </row>
    <row r="17" spans="1:4" ht="18" customHeight="1">
      <c r="A17" s="397" t="s">
        <v>0</v>
      </c>
      <c r="B17" s="400">
        <v>531000</v>
      </c>
      <c r="C17" s="401">
        <f>กระดาษทำการ!K20+กระดาษทำการ!K21</f>
        <v>621370</v>
      </c>
      <c r="D17" s="234"/>
    </row>
    <row r="18" spans="1:5" ht="18" customHeight="1">
      <c r="A18" s="397" t="s">
        <v>1</v>
      </c>
      <c r="B18" s="400">
        <v>532000</v>
      </c>
      <c r="C18" s="401">
        <f>กระดาษทำการ!K22+กระดาษทำการ!K23</f>
        <v>6551436.0600000005</v>
      </c>
      <c r="D18" s="234"/>
      <c r="E18" s="184">
        <f>SUM(C13:C24)</f>
        <v>37358102.83</v>
      </c>
    </row>
    <row r="19" spans="1:4" ht="18" customHeight="1">
      <c r="A19" s="397" t="s">
        <v>2</v>
      </c>
      <c r="B19" s="400">
        <v>533000</v>
      </c>
      <c r="C19" s="401">
        <f>กระดาษทำการ!K24+กระดาษทำการ!K25</f>
        <v>1686786.26</v>
      </c>
      <c r="D19" s="234"/>
    </row>
    <row r="20" spans="1:4" ht="18" customHeight="1">
      <c r="A20" s="397" t="s">
        <v>3</v>
      </c>
      <c r="B20" s="400">
        <v>534000</v>
      </c>
      <c r="C20" s="401">
        <f>กระดาษทำการ!K26</f>
        <v>361525.51</v>
      </c>
      <c r="D20" s="234"/>
    </row>
    <row r="21" spans="1:4" ht="18" customHeight="1">
      <c r="A21" s="397" t="s">
        <v>4</v>
      </c>
      <c r="B21" s="400">
        <v>561000</v>
      </c>
      <c r="C21" s="401">
        <f>กระดาษทำการ!K32</f>
        <v>1464578.93</v>
      </c>
      <c r="D21" s="234"/>
    </row>
    <row r="22" spans="1:4" ht="18" customHeight="1">
      <c r="A22" s="397" t="s">
        <v>80</v>
      </c>
      <c r="B22" s="400">
        <v>541000</v>
      </c>
      <c r="C22" s="401">
        <f>กระดาษทำการ!K27</f>
        <v>385059</v>
      </c>
      <c r="D22" s="234"/>
    </row>
    <row r="23" spans="1:4" ht="18" customHeight="1">
      <c r="A23" s="397" t="s">
        <v>163</v>
      </c>
      <c r="B23" s="400">
        <v>542000</v>
      </c>
      <c r="C23" s="401">
        <f>กระดาษทำการ!K29+กระดาษทำการ!K28+กระดาษทำการ!K30</f>
        <v>491000</v>
      </c>
      <c r="D23" s="234"/>
    </row>
    <row r="24" spans="1:4" ht="18" customHeight="1">
      <c r="A24" s="397" t="s">
        <v>39</v>
      </c>
      <c r="B24" s="400">
        <v>551000</v>
      </c>
      <c r="C24" s="401">
        <f>กระดาษทำการ!K31</f>
        <v>0</v>
      </c>
      <c r="D24" s="234"/>
    </row>
    <row r="25" spans="1:5" ht="18" customHeight="1">
      <c r="A25" s="397" t="s">
        <v>98</v>
      </c>
      <c r="B25" s="400">
        <v>121000</v>
      </c>
      <c r="C25" s="399">
        <f>กระดาษทำการ!K33</f>
        <v>12048610</v>
      </c>
      <c r="D25" s="234"/>
      <c r="E25" s="184"/>
    </row>
    <row r="26" spans="1:4" ht="18" customHeight="1">
      <c r="A26" s="397" t="s">
        <v>142</v>
      </c>
      <c r="B26" s="400">
        <v>211000</v>
      </c>
      <c r="C26" s="399">
        <v>0</v>
      </c>
      <c r="D26" s="234">
        <f>กระดาษทำการ!M40</f>
        <v>5461418.85</v>
      </c>
    </row>
    <row r="27" spans="1:4" ht="18" customHeight="1">
      <c r="A27" s="302" t="s">
        <v>95</v>
      </c>
      <c r="B27" s="264">
        <v>604</v>
      </c>
      <c r="C27" s="399"/>
      <c r="D27" s="399">
        <f>กระดาษทำการ!L37</f>
        <v>0</v>
      </c>
    </row>
    <row r="28" spans="1:4" ht="18" customHeight="1">
      <c r="A28" s="397" t="s">
        <v>7</v>
      </c>
      <c r="B28" s="400">
        <v>310000</v>
      </c>
      <c r="C28" s="399"/>
      <c r="D28" s="399">
        <f>กระดาษทำการ!L41</f>
        <v>20853057.76</v>
      </c>
    </row>
    <row r="29" spans="1:4" ht="18" customHeight="1">
      <c r="A29" s="397" t="s">
        <v>40</v>
      </c>
      <c r="B29" s="400">
        <v>320000</v>
      </c>
      <c r="C29" s="399"/>
      <c r="D29" s="234">
        <f>กระดาษทำการ!L42</f>
        <v>10125619.53</v>
      </c>
    </row>
    <row r="30" spans="1:4" ht="18" customHeight="1">
      <c r="A30" s="397" t="s">
        <v>55</v>
      </c>
      <c r="B30" s="406">
        <v>113100</v>
      </c>
      <c r="C30" s="234">
        <v>0</v>
      </c>
      <c r="D30" s="258"/>
    </row>
    <row r="31" spans="1:5" ht="18" customHeight="1">
      <c r="A31" s="397" t="s">
        <v>36</v>
      </c>
      <c r="B31" s="400">
        <v>113700</v>
      </c>
      <c r="C31" s="234">
        <v>0</v>
      </c>
      <c r="D31" s="234"/>
      <c r="E31" s="184">
        <v>0</v>
      </c>
    </row>
    <row r="32" spans="1:4" ht="18" customHeight="1">
      <c r="A32" s="302" t="s">
        <v>359</v>
      </c>
      <c r="B32" s="400">
        <v>113800</v>
      </c>
      <c r="C32" s="399">
        <f>กระดาษทำการ!K43</f>
        <v>3500</v>
      </c>
      <c r="D32" s="399"/>
    </row>
    <row r="33" spans="1:4" ht="18" customHeight="1">
      <c r="A33" s="302" t="s">
        <v>312</v>
      </c>
      <c r="B33" s="400">
        <v>140300</v>
      </c>
      <c r="C33" s="399">
        <f>กระดาษทำการ!K51</f>
        <v>50</v>
      </c>
      <c r="D33" s="399"/>
    </row>
    <row r="34" spans="1:4" ht="18" customHeight="1">
      <c r="A34" s="302" t="s">
        <v>313</v>
      </c>
      <c r="B34" s="400">
        <v>240100</v>
      </c>
      <c r="C34" s="399"/>
      <c r="D34" s="399">
        <f>กระดาษทำการ!L52</f>
        <v>50</v>
      </c>
    </row>
    <row r="35" spans="1:5" ht="18" customHeight="1">
      <c r="A35" s="397" t="s">
        <v>97</v>
      </c>
      <c r="B35" s="400">
        <v>220102</v>
      </c>
      <c r="C35" s="399"/>
      <c r="D35" s="399">
        <f>กระดาษทำการ!L34</f>
        <v>1851939</v>
      </c>
      <c r="E35" s="184"/>
    </row>
    <row r="36" spans="1:7" ht="18" customHeight="1">
      <c r="A36" s="397" t="s">
        <v>116</v>
      </c>
      <c r="B36" s="400">
        <v>220103</v>
      </c>
      <c r="C36" s="399"/>
      <c r="D36" s="399">
        <f>กระดาษทำการ!L35</f>
        <v>6860945.88</v>
      </c>
      <c r="E36" s="184"/>
      <c r="G36" s="248"/>
    </row>
    <row r="37" spans="1:7" ht="18" customHeight="1">
      <c r="A37" s="397" t="s">
        <v>146</v>
      </c>
      <c r="B37" s="400">
        <v>123000</v>
      </c>
      <c r="C37" s="399">
        <f>กระดาษทำการ!K48</f>
        <v>0</v>
      </c>
      <c r="D37" s="399"/>
      <c r="G37" s="248"/>
    </row>
    <row r="38" spans="1:7" ht="18" customHeight="1">
      <c r="A38" s="397" t="s">
        <v>41</v>
      </c>
      <c r="B38" s="400">
        <v>400000</v>
      </c>
      <c r="C38" s="399"/>
      <c r="D38" s="234">
        <f>กระดาษทำการ!L49</f>
        <v>44684716.839999996</v>
      </c>
      <c r="E38" s="184"/>
      <c r="G38" s="184"/>
    </row>
    <row r="39" spans="1:5" ht="18" customHeight="1">
      <c r="A39" s="397" t="s">
        <v>42</v>
      </c>
      <c r="B39" s="400">
        <v>215000</v>
      </c>
      <c r="C39" s="399"/>
      <c r="D39" s="234">
        <f>กระดาษทำการ!L50</f>
        <v>337788.83</v>
      </c>
      <c r="E39" s="184"/>
    </row>
    <row r="40" spans="1:5" ht="18" customHeight="1">
      <c r="A40" s="407"/>
      <c r="B40" s="408"/>
      <c r="C40" s="409">
        <f>SUM(C5:C39)</f>
        <v>90175536.69000003</v>
      </c>
      <c r="D40" s="409">
        <f>SUM(D26:D39)</f>
        <v>90175536.69</v>
      </c>
      <c r="E40" s="184">
        <f>C40-D40</f>
        <v>0</v>
      </c>
    </row>
    <row r="41" spans="1:5" ht="18" customHeight="1">
      <c r="A41" s="11" t="s">
        <v>604</v>
      </c>
      <c r="B41" s="12"/>
      <c r="C41" s="38"/>
      <c r="D41" s="256"/>
      <c r="E41" s="184"/>
    </row>
    <row r="42" spans="1:5" ht="18" customHeight="1">
      <c r="A42" s="11" t="s">
        <v>605</v>
      </c>
      <c r="B42" s="12"/>
      <c r="C42" s="12"/>
      <c r="D42" s="256"/>
      <c r="E42" s="184"/>
    </row>
    <row r="43" spans="1:5" ht="18" customHeight="1">
      <c r="A43" s="11" t="s">
        <v>606</v>
      </c>
      <c r="B43" s="12"/>
      <c r="C43" s="12"/>
      <c r="D43" s="256"/>
      <c r="E43" s="184"/>
    </row>
    <row r="44" spans="1:5" ht="9.75" customHeight="1">
      <c r="A44" s="250"/>
      <c r="B44" s="410"/>
      <c r="C44" s="256"/>
      <c r="D44" s="256"/>
      <c r="E44" s="184"/>
    </row>
    <row r="45" spans="1:4" ht="28.5" customHeight="1">
      <c r="A45" s="806" t="s">
        <v>694</v>
      </c>
      <c r="B45" s="806"/>
      <c r="C45" s="806"/>
      <c r="D45" s="806"/>
    </row>
    <row r="46" spans="1:7" ht="20.25" customHeight="1">
      <c r="A46" s="806" t="s">
        <v>711</v>
      </c>
      <c r="B46" s="806"/>
      <c r="C46" s="806"/>
      <c r="D46" s="806"/>
      <c r="E46" s="527"/>
      <c r="F46" s="527"/>
      <c r="G46" s="527"/>
    </row>
    <row r="47" spans="1:4" ht="20.25" customHeight="1">
      <c r="A47" s="806" t="s">
        <v>712</v>
      </c>
      <c r="B47" s="806"/>
      <c r="C47" s="806"/>
      <c r="D47" s="806"/>
    </row>
    <row r="48" spans="1:4" ht="18" customHeight="1">
      <c r="A48" s="525"/>
      <c r="B48" s="138"/>
      <c r="C48" s="138"/>
      <c r="D48" s="138"/>
    </row>
    <row r="49" spans="1:4" ht="19.5" customHeight="1">
      <c r="A49" s="410"/>
      <c r="B49" s="524"/>
      <c r="C49" s="524"/>
      <c r="D49" s="524"/>
    </row>
    <row r="50" spans="2:4" ht="19.5" customHeight="1">
      <c r="B50" s="526"/>
      <c r="C50" s="139"/>
      <c r="D50" s="250"/>
    </row>
    <row r="51" spans="2:4" ht="19.5" customHeight="1">
      <c r="B51" s="526"/>
      <c r="C51" s="139"/>
      <c r="D51" s="250"/>
    </row>
    <row r="52" spans="2:4" ht="21">
      <c r="B52" s="805"/>
      <c r="C52" s="805"/>
      <c r="D52" s="410"/>
    </row>
    <row r="53" spans="2:3" ht="21">
      <c r="B53" s="805"/>
      <c r="C53" s="805"/>
    </row>
  </sheetData>
  <sheetProtection/>
  <mergeCells count="8">
    <mergeCell ref="B53:C53"/>
    <mergeCell ref="A45:D45"/>
    <mergeCell ref="A46:D46"/>
    <mergeCell ref="A47:D47"/>
    <mergeCell ref="A1:D1"/>
    <mergeCell ref="A2:D2"/>
    <mergeCell ref="A3:D3"/>
    <mergeCell ref="B52:C52"/>
  </mergeCells>
  <printOptions horizontalCentered="1"/>
  <pageMargins left="0.31496062992125984" right="0.2362204724409449" top="0.3937007874015748" bottom="0.1968503937007874" header="0.3937007874015748" footer="0.1968503937007874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3">
      <selection activeCell="E71" sqref="E71:H74"/>
    </sheetView>
  </sheetViews>
  <sheetFormatPr defaultColWidth="10.8515625" defaultRowHeight="21.75"/>
  <cols>
    <col min="1" max="1" width="15.421875" style="11" customWidth="1"/>
    <col min="2" max="2" width="12.00390625" style="12" customWidth="1"/>
    <col min="3" max="3" width="14.00390625" style="12" customWidth="1"/>
    <col min="4" max="4" width="13.8515625" style="12" customWidth="1"/>
    <col min="5" max="7" width="10.8515625" style="11" customWidth="1"/>
    <col min="8" max="8" width="4.8515625" style="11" customWidth="1"/>
    <col min="9" max="9" width="7.8515625" style="11" customWidth="1"/>
    <col min="10" max="10" width="14.00390625" style="11" customWidth="1"/>
    <col min="11" max="11" width="17.421875" style="4" customWidth="1"/>
    <col min="12" max="12" width="22.00390625" style="411" customWidth="1"/>
    <col min="13" max="13" width="32.00390625" style="411" customWidth="1"/>
    <col min="14" max="16384" width="10.8515625" style="411" customWidth="1"/>
  </cols>
  <sheetData>
    <row r="1" spans="1:10" ht="15" customHeight="1">
      <c r="A1" s="840" t="s">
        <v>302</v>
      </c>
      <c r="B1" s="840"/>
      <c r="C1" s="840"/>
      <c r="D1" s="840"/>
      <c r="E1" s="840"/>
      <c r="F1" s="840"/>
      <c r="G1" s="840"/>
      <c r="H1" s="840"/>
      <c r="I1" s="840"/>
      <c r="J1" s="840"/>
    </row>
    <row r="2" spans="1:10" ht="15" customHeight="1">
      <c r="A2" s="844" t="s">
        <v>178</v>
      </c>
      <c r="B2" s="844"/>
      <c r="C2" s="844"/>
      <c r="D2" s="844"/>
      <c r="E2" s="844"/>
      <c r="F2" s="844"/>
      <c r="G2" s="844"/>
      <c r="H2" s="844"/>
      <c r="I2" s="844"/>
      <c r="J2" s="844"/>
    </row>
    <row r="3" spans="1:11" ht="15" customHeight="1">
      <c r="A3" s="836" t="s">
        <v>303</v>
      </c>
      <c r="B3" s="836"/>
      <c r="C3" s="836"/>
      <c r="D3" s="836"/>
      <c r="E3" s="836"/>
      <c r="F3" s="836"/>
      <c r="G3" s="836"/>
      <c r="H3" s="836"/>
      <c r="I3" s="836"/>
      <c r="J3" s="836"/>
      <c r="K3" s="5"/>
    </row>
    <row r="4" spans="1:10" ht="15" customHeight="1" thickBot="1">
      <c r="A4" s="818" t="s">
        <v>773</v>
      </c>
      <c r="B4" s="818"/>
      <c r="C4" s="818"/>
      <c r="D4" s="818"/>
      <c r="E4" s="818"/>
      <c r="F4" s="818"/>
      <c r="G4" s="818"/>
      <c r="H4" s="818"/>
      <c r="I4" s="818"/>
      <c r="J4" s="818"/>
    </row>
    <row r="5" spans="1:10" ht="15" customHeight="1" thickTop="1">
      <c r="A5" s="841" t="s">
        <v>26</v>
      </c>
      <c r="B5" s="842"/>
      <c r="C5" s="842"/>
      <c r="D5" s="843"/>
      <c r="E5" s="813" t="s">
        <v>52</v>
      </c>
      <c r="F5" s="814"/>
      <c r="G5" s="814"/>
      <c r="H5" s="814"/>
      <c r="I5" s="837" t="s">
        <v>47</v>
      </c>
      <c r="J5" s="70" t="s">
        <v>46</v>
      </c>
    </row>
    <row r="6" spans="1:11" ht="15" customHeight="1">
      <c r="A6" s="13" t="s">
        <v>28</v>
      </c>
      <c r="B6" s="80" t="s">
        <v>268</v>
      </c>
      <c r="C6" s="14" t="s">
        <v>70</v>
      </c>
      <c r="D6" s="13" t="s">
        <v>29</v>
      </c>
      <c r="E6" s="815"/>
      <c r="F6" s="816"/>
      <c r="G6" s="816"/>
      <c r="H6" s="816"/>
      <c r="I6" s="838"/>
      <c r="J6" s="13" t="s">
        <v>27</v>
      </c>
      <c r="K6" s="9"/>
    </row>
    <row r="7" spans="1:11" ht="15" customHeight="1">
      <c r="A7" s="13" t="s">
        <v>30</v>
      </c>
      <c r="B7" s="80" t="s">
        <v>269</v>
      </c>
      <c r="C7" s="14" t="s">
        <v>30</v>
      </c>
      <c r="D7" s="13" t="s">
        <v>30</v>
      </c>
      <c r="E7" s="815"/>
      <c r="F7" s="816"/>
      <c r="G7" s="816"/>
      <c r="H7" s="816"/>
      <c r="I7" s="838"/>
      <c r="J7" s="13" t="s">
        <v>271</v>
      </c>
      <c r="K7" s="9"/>
    </row>
    <row r="8" spans="1:11" ht="15" customHeight="1" thickBot="1">
      <c r="A8" s="15"/>
      <c r="B8" s="10" t="s">
        <v>270</v>
      </c>
      <c r="C8" s="16"/>
      <c r="D8" s="15"/>
      <c r="E8" s="817"/>
      <c r="F8" s="818"/>
      <c r="G8" s="818"/>
      <c r="H8" s="818"/>
      <c r="I8" s="839"/>
      <c r="J8" s="15" t="s">
        <v>272</v>
      </c>
      <c r="K8" s="8" t="s">
        <v>179</v>
      </c>
    </row>
    <row r="9" spans="1:11" ht="16.5" customHeight="1" thickTop="1">
      <c r="A9" s="17"/>
      <c r="B9" s="18"/>
      <c r="C9" s="18"/>
      <c r="D9" s="19">
        <v>31765426.86</v>
      </c>
      <c r="E9" s="20" t="s">
        <v>48</v>
      </c>
      <c r="F9" s="21"/>
      <c r="G9" s="21"/>
      <c r="H9" s="21"/>
      <c r="I9" s="22"/>
      <c r="J9" s="74">
        <v>38141393.07</v>
      </c>
      <c r="K9" s="23">
        <v>0</v>
      </c>
    </row>
    <row r="10" spans="1:11" ht="16.5" customHeight="1">
      <c r="A10" s="17"/>
      <c r="B10" s="18"/>
      <c r="C10" s="18"/>
      <c r="D10" s="19"/>
      <c r="E10" s="24" t="s">
        <v>273</v>
      </c>
      <c r="F10" s="21"/>
      <c r="G10" s="21"/>
      <c r="H10" s="21"/>
      <c r="I10" s="22"/>
      <c r="J10" s="61"/>
      <c r="K10" s="60"/>
    </row>
    <row r="11" spans="1:12" ht="16.5" customHeight="1">
      <c r="A11" s="25">
        <v>698500</v>
      </c>
      <c r="B11" s="18"/>
      <c r="C11" s="18">
        <f aca="true" t="shared" si="0" ref="C11:C17">A11</f>
        <v>698500</v>
      </c>
      <c r="D11" s="19">
        <f>J11+K11</f>
        <v>718086.76</v>
      </c>
      <c r="E11" s="26" t="s">
        <v>31</v>
      </c>
      <c r="F11" s="21"/>
      <c r="G11" s="21"/>
      <c r="H11" s="21"/>
      <c r="I11" s="22" t="s">
        <v>194</v>
      </c>
      <c r="J11" s="61">
        <f>ใบผ่านรายการ3!G9</f>
        <v>5142.52</v>
      </c>
      <c r="K11" s="60">
        <f>41961.08+152854.95+210093.94+146474.76+127091.1+34300.36+168.05</f>
        <v>712944.24</v>
      </c>
      <c r="L11" s="412"/>
    </row>
    <row r="12" spans="1:11" ht="16.5" customHeight="1">
      <c r="A12" s="25">
        <v>451800</v>
      </c>
      <c r="B12" s="18"/>
      <c r="C12" s="18">
        <f t="shared" si="0"/>
        <v>451800</v>
      </c>
      <c r="D12" s="19">
        <f>J12+K12</f>
        <v>407378.8</v>
      </c>
      <c r="E12" s="26" t="s">
        <v>32</v>
      </c>
      <c r="F12" s="21"/>
      <c r="G12" s="21"/>
      <c r="H12" s="21"/>
      <c r="I12" s="22" t="s">
        <v>195</v>
      </c>
      <c r="J12" s="61">
        <f>ใบผ่านรายการ3!G26</f>
        <v>31361</v>
      </c>
      <c r="K12" s="60">
        <f>9135+64870.2+57697.4+32494.2+39938+28874.2+33949+35018+28471.8+45570</f>
        <v>376017.8</v>
      </c>
    </row>
    <row r="13" spans="1:12" ht="16.5" customHeight="1">
      <c r="A13" s="25">
        <v>739300</v>
      </c>
      <c r="B13" s="18"/>
      <c r="C13" s="18">
        <f t="shared" si="0"/>
        <v>739300</v>
      </c>
      <c r="D13" s="19">
        <f aca="true" t="shared" si="1" ref="D13:D65">J13+K13</f>
        <v>642196.98</v>
      </c>
      <c r="E13" s="26" t="s">
        <v>33</v>
      </c>
      <c r="F13" s="21"/>
      <c r="G13" s="21"/>
      <c r="H13" s="21"/>
      <c r="I13" s="22" t="s">
        <v>196</v>
      </c>
      <c r="J13" s="61">
        <f>ใบผ่านรายการ3!G29</f>
        <v>34700</v>
      </c>
      <c r="K13" s="60">
        <f>25910+57568+23950+175040.52+38635+36690+20860+51110+35130+142603.46</f>
        <v>607496.98</v>
      </c>
      <c r="L13" s="412">
        <f>J11+J12+J13+J15+J16+J17+J18</f>
        <v>2245709.8299999996</v>
      </c>
    </row>
    <row r="14" spans="1:11" ht="16.5" customHeight="1">
      <c r="A14" s="27">
        <v>0</v>
      </c>
      <c r="B14" s="18"/>
      <c r="C14" s="18">
        <f t="shared" si="0"/>
        <v>0</v>
      </c>
      <c r="D14" s="19">
        <f t="shared" si="1"/>
        <v>0</v>
      </c>
      <c r="E14" s="28" t="s">
        <v>54</v>
      </c>
      <c r="F14" s="21"/>
      <c r="G14" s="21"/>
      <c r="H14" s="21"/>
      <c r="I14" s="22"/>
      <c r="J14" s="61">
        <v>0</v>
      </c>
      <c r="K14" s="60">
        <v>0</v>
      </c>
    </row>
    <row r="15" spans="1:12" ht="16.5" customHeight="1">
      <c r="A15" s="25">
        <v>151200</v>
      </c>
      <c r="B15" s="18"/>
      <c r="C15" s="18">
        <f t="shared" si="0"/>
        <v>151200</v>
      </c>
      <c r="D15" s="19">
        <f t="shared" si="1"/>
        <v>52318.7</v>
      </c>
      <c r="E15" s="26" t="s">
        <v>11</v>
      </c>
      <c r="F15" s="21"/>
      <c r="G15" s="21"/>
      <c r="H15" s="21"/>
      <c r="I15" s="22" t="s">
        <v>197</v>
      </c>
      <c r="J15" s="61">
        <f>ใบผ่านรายการ3!G32</f>
        <v>3191</v>
      </c>
      <c r="K15" s="60">
        <f>3052.5+6326+4364+4602+5159.7+3919+2698+13528+3422.5+2056</f>
        <v>49127.7</v>
      </c>
      <c r="L15" s="412">
        <f>SUM(K11:K18)</f>
        <v>23444913.759999998</v>
      </c>
    </row>
    <row r="16" spans="1:11" ht="16.5" customHeight="1">
      <c r="A16" s="27">
        <v>0</v>
      </c>
      <c r="B16" s="18"/>
      <c r="C16" s="18">
        <f t="shared" si="0"/>
        <v>0</v>
      </c>
      <c r="D16" s="19">
        <v>0</v>
      </c>
      <c r="E16" s="28" t="s">
        <v>44</v>
      </c>
      <c r="F16" s="21"/>
      <c r="G16" s="21"/>
      <c r="H16" s="21"/>
      <c r="I16" s="22" t="s">
        <v>198</v>
      </c>
      <c r="J16" s="61">
        <v>0</v>
      </c>
      <c r="K16" s="60">
        <v>0</v>
      </c>
    </row>
    <row r="17" spans="1:12" ht="16.5" customHeight="1">
      <c r="A17" s="25">
        <v>17375000</v>
      </c>
      <c r="B17" s="18"/>
      <c r="C17" s="18">
        <f t="shared" si="0"/>
        <v>17375000</v>
      </c>
      <c r="D17" s="19">
        <f t="shared" si="1"/>
        <v>17181898.349999998</v>
      </c>
      <c r="E17" s="26" t="s">
        <v>86</v>
      </c>
      <c r="F17" s="21"/>
      <c r="G17" s="21"/>
      <c r="H17" s="21"/>
      <c r="I17" s="22" t="s">
        <v>254</v>
      </c>
      <c r="J17" s="61">
        <f>ใบผ่านรายการ3!G42</f>
        <v>2171315.3099999996</v>
      </c>
      <c r="K17" s="60">
        <f>2978497.82+295566.9+1169994.57+394118.23+3010747.37+1525031.42+2221854.01+1614251.52+1800521.2</f>
        <v>15010583.039999997</v>
      </c>
      <c r="L17" s="412"/>
    </row>
    <row r="18" spans="1:11" ht="17.25">
      <c r="A18" s="25">
        <v>34140293</v>
      </c>
      <c r="B18" s="18"/>
      <c r="C18" s="18">
        <v>34140293</v>
      </c>
      <c r="D18" s="19">
        <f t="shared" si="1"/>
        <v>6688744</v>
      </c>
      <c r="E18" s="26" t="s">
        <v>82</v>
      </c>
      <c r="F18" s="21"/>
      <c r="G18" s="21"/>
      <c r="H18" s="21"/>
      <c r="I18" s="22" t="s">
        <v>255</v>
      </c>
      <c r="J18" s="61">
        <v>0</v>
      </c>
      <c r="K18" s="60">
        <f>3344372+3344372</f>
        <v>6688744</v>
      </c>
    </row>
    <row r="19" spans="1:13" ht="17.25" hidden="1">
      <c r="A19" s="17"/>
      <c r="B19" s="18"/>
      <c r="C19" s="18">
        <f aca="true" t="shared" si="2" ref="C19:C24">A19</f>
        <v>0</v>
      </c>
      <c r="D19" s="19">
        <f t="shared" si="1"/>
        <v>0</v>
      </c>
      <c r="E19" s="21" t="s">
        <v>103</v>
      </c>
      <c r="F19" s="21"/>
      <c r="G19" s="21"/>
      <c r="H19" s="21"/>
      <c r="I19" s="22" t="s">
        <v>247</v>
      </c>
      <c r="J19" s="61"/>
      <c r="K19" s="60">
        <v>0</v>
      </c>
      <c r="M19" s="412"/>
    </row>
    <row r="20" spans="1:13" ht="17.25" hidden="1">
      <c r="A20" s="17"/>
      <c r="B20" s="18"/>
      <c r="C20" s="18">
        <f t="shared" si="2"/>
        <v>0</v>
      </c>
      <c r="D20" s="19">
        <f t="shared" si="1"/>
        <v>0</v>
      </c>
      <c r="E20" s="21" t="s">
        <v>249</v>
      </c>
      <c r="F20" s="21"/>
      <c r="G20" s="21"/>
      <c r="H20" s="21"/>
      <c r="I20" s="22" t="s">
        <v>250</v>
      </c>
      <c r="J20" s="61"/>
      <c r="K20" s="60">
        <v>0</v>
      </c>
      <c r="M20" s="412"/>
    </row>
    <row r="21" spans="1:13" ht="17.25" hidden="1">
      <c r="A21" s="17"/>
      <c r="B21" s="18"/>
      <c r="C21" s="18">
        <f t="shared" si="2"/>
        <v>0</v>
      </c>
      <c r="D21" s="19">
        <f t="shared" si="1"/>
        <v>0</v>
      </c>
      <c r="E21" s="21" t="s">
        <v>324</v>
      </c>
      <c r="F21" s="21"/>
      <c r="G21" s="21"/>
      <c r="H21" s="21"/>
      <c r="I21" s="22" t="s">
        <v>323</v>
      </c>
      <c r="J21" s="61"/>
      <c r="K21" s="60">
        <v>0</v>
      </c>
      <c r="M21" s="412"/>
    </row>
    <row r="22" spans="1:12" ht="17.25" hidden="1">
      <c r="A22" s="17"/>
      <c r="B22" s="18"/>
      <c r="C22" s="18">
        <f t="shared" si="2"/>
        <v>0</v>
      </c>
      <c r="D22" s="19">
        <f t="shared" si="1"/>
        <v>0</v>
      </c>
      <c r="E22" s="26" t="s">
        <v>138</v>
      </c>
      <c r="F22" s="21"/>
      <c r="G22" s="21"/>
      <c r="H22" s="21"/>
      <c r="I22" s="22" t="s">
        <v>256</v>
      </c>
      <c r="J22" s="61"/>
      <c r="K22" s="60">
        <v>0</v>
      </c>
      <c r="L22" s="412">
        <f>+J53</f>
        <v>0</v>
      </c>
    </row>
    <row r="23" spans="1:12" ht="17.25" hidden="1">
      <c r="A23" s="25"/>
      <c r="B23" s="18"/>
      <c r="C23" s="18">
        <f t="shared" si="2"/>
        <v>0</v>
      </c>
      <c r="D23" s="19">
        <f t="shared" si="1"/>
        <v>0</v>
      </c>
      <c r="E23" s="26" t="s">
        <v>7</v>
      </c>
      <c r="F23" s="21"/>
      <c r="G23" s="21"/>
      <c r="H23" s="21"/>
      <c r="I23" s="22" t="s">
        <v>192</v>
      </c>
      <c r="J23" s="19"/>
      <c r="K23" s="60">
        <v>0</v>
      </c>
      <c r="L23" s="412">
        <f>J24+J25+J26+J27+J28+J29+J30+J31+J32+J33+J39+J53+J41+J44+J45+J46+J47+J48+J49</f>
        <v>0</v>
      </c>
    </row>
    <row r="24" spans="1:12" ht="17.25">
      <c r="A24" s="17"/>
      <c r="B24" s="18">
        <v>0</v>
      </c>
      <c r="C24" s="18">
        <f t="shared" si="2"/>
        <v>0</v>
      </c>
      <c r="D24" s="19">
        <f t="shared" si="1"/>
        <v>0</v>
      </c>
      <c r="E24" s="696" t="s">
        <v>183</v>
      </c>
      <c r="F24" s="30"/>
      <c r="G24" s="126"/>
      <c r="H24" s="30"/>
      <c r="I24" s="22" t="s">
        <v>257</v>
      </c>
      <c r="J24" s="75">
        <v>0</v>
      </c>
      <c r="K24" s="60">
        <v>0</v>
      </c>
      <c r="L24" s="413">
        <f>L13+L23</f>
        <v>2245709.8299999996</v>
      </c>
    </row>
    <row r="25" spans="1:13" ht="17.25">
      <c r="A25" s="25"/>
      <c r="B25" s="18"/>
      <c r="C25" s="18">
        <f aca="true" t="shared" si="3" ref="C25:C34">B25</f>
        <v>0</v>
      </c>
      <c r="D25" s="19">
        <f t="shared" si="1"/>
        <v>71669.25</v>
      </c>
      <c r="E25" s="808" t="s">
        <v>215</v>
      </c>
      <c r="F25" s="809"/>
      <c r="G25" s="809"/>
      <c r="H25" s="809"/>
      <c r="I25" s="22" t="s">
        <v>257</v>
      </c>
      <c r="J25" s="19">
        <f>ใบผ่านรายการ3!F75</f>
        <v>0</v>
      </c>
      <c r="K25" s="60">
        <f>23889.75+23889.75+23889.75</f>
        <v>71669.25</v>
      </c>
      <c r="M25" s="412"/>
    </row>
    <row r="26" spans="1:11" ht="17.25">
      <c r="A26" s="25"/>
      <c r="B26" s="18"/>
      <c r="C26" s="18">
        <f t="shared" si="3"/>
        <v>0</v>
      </c>
      <c r="D26" s="19">
        <f t="shared" si="1"/>
        <v>4577600</v>
      </c>
      <c r="E26" s="696" t="s">
        <v>216</v>
      </c>
      <c r="F26" s="30"/>
      <c r="G26" s="30"/>
      <c r="H26" s="30"/>
      <c r="I26" s="22" t="s">
        <v>257</v>
      </c>
      <c r="J26" s="19">
        <f>ใบผ่านรายการ3!F58</f>
        <v>0</v>
      </c>
      <c r="K26" s="60">
        <f>1144400+1144400+1144400+1144400</f>
        <v>4577600</v>
      </c>
    </row>
    <row r="27" spans="1:11" ht="16.5" customHeight="1">
      <c r="A27" s="27"/>
      <c r="B27" s="18"/>
      <c r="C27" s="18">
        <f t="shared" si="3"/>
        <v>0</v>
      </c>
      <c r="D27" s="19">
        <f t="shared" si="1"/>
        <v>854400</v>
      </c>
      <c r="E27" s="696" t="s">
        <v>217</v>
      </c>
      <c r="F27" s="30"/>
      <c r="G27" s="30"/>
      <c r="H27" s="30"/>
      <c r="I27" s="22" t="s">
        <v>257</v>
      </c>
      <c r="J27" s="19">
        <f>ใบผ่านรายการ3!F59</f>
        <v>0</v>
      </c>
      <c r="K27" s="60">
        <f>213600+213600+213600+213600</f>
        <v>854400</v>
      </c>
    </row>
    <row r="28" spans="1:11" ht="16.5" customHeight="1">
      <c r="A28" s="27"/>
      <c r="B28" s="18"/>
      <c r="C28" s="18">
        <f t="shared" si="3"/>
        <v>0</v>
      </c>
      <c r="D28" s="19">
        <f t="shared" si="1"/>
        <v>5520</v>
      </c>
      <c r="E28" s="29" t="s">
        <v>218</v>
      </c>
      <c r="F28" s="30"/>
      <c r="G28" s="30"/>
      <c r="H28" s="30"/>
      <c r="I28" s="22" t="s">
        <v>257</v>
      </c>
      <c r="J28" s="19">
        <f>ใบผ่านรายการ3!F69</f>
        <v>0</v>
      </c>
      <c r="K28" s="60">
        <f>1500+900+1800+1320</f>
        <v>5520</v>
      </c>
    </row>
    <row r="29" spans="1:13" ht="16.5" customHeight="1">
      <c r="A29" s="25"/>
      <c r="B29" s="18"/>
      <c r="C29" s="18">
        <f t="shared" si="3"/>
        <v>0</v>
      </c>
      <c r="D29" s="19">
        <f t="shared" si="1"/>
        <v>0</v>
      </c>
      <c r="E29" s="808" t="s">
        <v>219</v>
      </c>
      <c r="F29" s="809"/>
      <c r="G29" s="809"/>
      <c r="H29" s="809"/>
      <c r="I29" s="22" t="s">
        <v>257</v>
      </c>
      <c r="J29" s="19">
        <v>0</v>
      </c>
      <c r="K29" s="60">
        <v>0</v>
      </c>
      <c r="M29" s="412"/>
    </row>
    <row r="30" spans="1:11" ht="16.5" customHeight="1">
      <c r="A30" s="33"/>
      <c r="B30" s="18"/>
      <c r="C30" s="18">
        <f t="shared" si="3"/>
        <v>0</v>
      </c>
      <c r="D30" s="19">
        <f t="shared" si="1"/>
        <v>142450</v>
      </c>
      <c r="E30" s="808" t="s">
        <v>220</v>
      </c>
      <c r="F30" s="809"/>
      <c r="G30" s="809"/>
      <c r="H30" s="809"/>
      <c r="I30" s="22" t="s">
        <v>257</v>
      </c>
      <c r="J30" s="19">
        <f>ใบผ่านรายการ3!F68</f>
        <v>0</v>
      </c>
      <c r="K30" s="60">
        <f>30000+30000+30000+30000+22450</f>
        <v>142450</v>
      </c>
    </row>
    <row r="31" spans="1:11" ht="16.5" customHeight="1">
      <c r="A31" s="25"/>
      <c r="B31" s="18"/>
      <c r="C31" s="18">
        <f t="shared" si="3"/>
        <v>0</v>
      </c>
      <c r="D31" s="19">
        <f t="shared" si="1"/>
        <v>227500</v>
      </c>
      <c r="E31" s="808" t="s">
        <v>251</v>
      </c>
      <c r="F31" s="809"/>
      <c r="G31" s="809"/>
      <c r="H31" s="810"/>
      <c r="I31" s="22" t="s">
        <v>257</v>
      </c>
      <c r="J31" s="19">
        <f>ใบผ่านรายการ3!F74</f>
        <v>0</v>
      </c>
      <c r="K31" s="60">
        <f>70000+52500+52500+52500</f>
        <v>227500</v>
      </c>
    </row>
    <row r="32" spans="1:12" ht="16.5" customHeight="1">
      <c r="A32" s="17"/>
      <c r="B32" s="18"/>
      <c r="C32" s="18">
        <f t="shared" si="3"/>
        <v>0</v>
      </c>
      <c r="D32" s="19">
        <f t="shared" si="1"/>
        <v>27600</v>
      </c>
      <c r="E32" s="808" t="s">
        <v>308</v>
      </c>
      <c r="F32" s="809"/>
      <c r="G32" s="809"/>
      <c r="H32" s="809"/>
      <c r="I32" s="22" t="s">
        <v>257</v>
      </c>
      <c r="J32" s="19">
        <v>0</v>
      </c>
      <c r="K32" s="60">
        <v>27600</v>
      </c>
      <c r="L32" s="412">
        <f>J11+J12+J13+J15+J17+J31</f>
        <v>2245709.8299999996</v>
      </c>
    </row>
    <row r="33" spans="1:11" ht="16.5" customHeight="1">
      <c r="A33" s="17"/>
      <c r="B33" s="18"/>
      <c r="C33" s="18">
        <f t="shared" si="3"/>
        <v>0</v>
      </c>
      <c r="D33" s="19">
        <f t="shared" si="1"/>
        <v>21000</v>
      </c>
      <c r="E33" s="808" t="s">
        <v>252</v>
      </c>
      <c r="F33" s="809"/>
      <c r="G33" s="809"/>
      <c r="H33" s="809"/>
      <c r="I33" s="22" t="s">
        <v>257</v>
      </c>
      <c r="J33" s="19">
        <v>0</v>
      </c>
      <c r="K33" s="60">
        <v>21000</v>
      </c>
    </row>
    <row r="34" spans="1:13" ht="16.5" customHeight="1">
      <c r="A34" s="17"/>
      <c r="B34" s="18"/>
      <c r="C34" s="18">
        <f t="shared" si="3"/>
        <v>0</v>
      </c>
      <c r="D34" s="19">
        <f t="shared" si="1"/>
        <v>20000</v>
      </c>
      <c r="E34" s="819" t="s">
        <v>591</v>
      </c>
      <c r="F34" s="820"/>
      <c r="G34" s="820"/>
      <c r="H34" s="821"/>
      <c r="I34" s="22" t="s">
        <v>257</v>
      </c>
      <c r="J34" s="19">
        <v>0</v>
      </c>
      <c r="K34" s="60">
        <v>20000</v>
      </c>
      <c r="L34" s="412"/>
      <c r="M34" s="412"/>
    </row>
    <row r="35" spans="1:13" ht="16.5" customHeight="1">
      <c r="A35" s="17"/>
      <c r="B35" s="18"/>
      <c r="C35" s="18"/>
      <c r="D35" s="19">
        <f>J35+K35</f>
        <v>9600</v>
      </c>
      <c r="E35" s="819" t="s">
        <v>633</v>
      </c>
      <c r="F35" s="820"/>
      <c r="G35" s="820"/>
      <c r="H35" s="821"/>
      <c r="I35" s="22" t="s">
        <v>257</v>
      </c>
      <c r="J35" s="19">
        <v>0</v>
      </c>
      <c r="K35" s="60">
        <v>9600</v>
      </c>
      <c r="L35" s="412"/>
      <c r="M35" s="412"/>
    </row>
    <row r="36" spans="1:13" ht="16.5" customHeight="1">
      <c r="A36" s="17"/>
      <c r="B36" s="18"/>
      <c r="C36" s="18"/>
      <c r="D36" s="19">
        <f>J36+K36</f>
        <v>100000</v>
      </c>
      <c r="E36" s="819" t="s">
        <v>634</v>
      </c>
      <c r="F36" s="820"/>
      <c r="G36" s="820"/>
      <c r="H36" s="821"/>
      <c r="I36" s="22" t="s">
        <v>257</v>
      </c>
      <c r="J36" s="19">
        <v>0</v>
      </c>
      <c r="K36" s="60">
        <v>100000</v>
      </c>
      <c r="L36" s="412"/>
      <c r="M36" s="412"/>
    </row>
    <row r="37" spans="1:13" ht="16.5" customHeight="1">
      <c r="A37" s="17"/>
      <c r="B37" s="18"/>
      <c r="C37" s="18"/>
      <c r="D37" s="19">
        <f>J37+K37</f>
        <v>50000</v>
      </c>
      <c r="E37" s="819" t="s">
        <v>635</v>
      </c>
      <c r="F37" s="820"/>
      <c r="G37" s="820"/>
      <c r="H37" s="821"/>
      <c r="I37" s="22" t="s">
        <v>257</v>
      </c>
      <c r="J37" s="19">
        <v>0</v>
      </c>
      <c r="K37" s="60">
        <v>50000</v>
      </c>
      <c r="L37" s="412"/>
      <c r="M37" s="412"/>
    </row>
    <row r="38" spans="1:13" ht="32.25" customHeight="1">
      <c r="A38" s="17"/>
      <c r="B38" s="18"/>
      <c r="C38" s="18"/>
      <c r="D38" s="19">
        <f>J38+K38</f>
        <v>200000</v>
      </c>
      <c r="E38" s="819" t="s">
        <v>636</v>
      </c>
      <c r="F38" s="820"/>
      <c r="G38" s="820"/>
      <c r="H38" s="821"/>
      <c r="I38" s="22" t="s">
        <v>257</v>
      </c>
      <c r="J38" s="19">
        <v>0</v>
      </c>
      <c r="K38" s="60">
        <v>200000</v>
      </c>
      <c r="L38" s="412"/>
      <c r="M38" s="412"/>
    </row>
    <row r="39" spans="1:12" ht="16.5" customHeight="1">
      <c r="A39" s="17"/>
      <c r="B39" s="18"/>
      <c r="C39" s="18"/>
      <c r="D39" s="19">
        <f t="shared" si="1"/>
        <v>30000</v>
      </c>
      <c r="E39" s="819" t="s">
        <v>334</v>
      </c>
      <c r="F39" s="820"/>
      <c r="G39" s="820"/>
      <c r="H39" s="821"/>
      <c r="I39" s="22" t="s">
        <v>257</v>
      </c>
      <c r="J39" s="19">
        <v>0</v>
      </c>
      <c r="K39" s="60">
        <v>30000</v>
      </c>
      <c r="L39" s="412"/>
    </row>
    <row r="40" spans="1:12" ht="16.5" customHeight="1">
      <c r="A40" s="17"/>
      <c r="B40" s="18"/>
      <c r="C40" s="18"/>
      <c r="D40" s="19">
        <f t="shared" si="1"/>
        <v>72500</v>
      </c>
      <c r="E40" s="819" t="s">
        <v>592</v>
      </c>
      <c r="F40" s="820"/>
      <c r="G40" s="820"/>
      <c r="H40" s="821"/>
      <c r="I40" s="22" t="s">
        <v>257</v>
      </c>
      <c r="J40" s="19">
        <f>ใบผ่านรายการ3!F71</f>
        <v>0</v>
      </c>
      <c r="K40" s="60">
        <f>42000+30500</f>
        <v>72500</v>
      </c>
      <c r="L40" s="412"/>
    </row>
    <row r="41" spans="1:12" ht="16.5" customHeight="1">
      <c r="A41" s="17"/>
      <c r="B41" s="18"/>
      <c r="C41" s="18"/>
      <c r="D41" s="19">
        <f t="shared" si="1"/>
        <v>51000</v>
      </c>
      <c r="E41" s="697" t="s">
        <v>593</v>
      </c>
      <c r="F41" s="30"/>
      <c r="G41" s="30"/>
      <c r="H41" s="30"/>
      <c r="I41" s="22" t="s">
        <v>257</v>
      </c>
      <c r="J41" s="19">
        <v>0</v>
      </c>
      <c r="K41" s="60">
        <v>51000</v>
      </c>
      <c r="L41" s="412"/>
    </row>
    <row r="42" spans="1:12" ht="16.5" customHeight="1">
      <c r="A42" s="17"/>
      <c r="B42" s="18"/>
      <c r="C42" s="18"/>
      <c r="D42" s="19">
        <f>J42+K42</f>
        <v>172540</v>
      </c>
      <c r="E42" s="697" t="s">
        <v>637</v>
      </c>
      <c r="F42" s="30"/>
      <c r="G42" s="30"/>
      <c r="H42" s="30"/>
      <c r="I42" s="22" t="s">
        <v>511</v>
      </c>
      <c r="J42" s="19">
        <f>ใบผ่านรายการ3!F61</f>
        <v>0</v>
      </c>
      <c r="K42" s="60">
        <f>86270+86270</f>
        <v>172540</v>
      </c>
      <c r="L42" s="412"/>
    </row>
    <row r="43" spans="1:12" ht="16.5" customHeight="1">
      <c r="A43" s="17"/>
      <c r="B43" s="18"/>
      <c r="C43" s="18"/>
      <c r="D43" s="19">
        <f>J43+K43</f>
        <v>120770</v>
      </c>
      <c r="E43" s="697" t="s">
        <v>638</v>
      </c>
      <c r="F43" s="30"/>
      <c r="G43" s="30"/>
      <c r="H43" s="30"/>
      <c r="I43" s="22" t="s">
        <v>281</v>
      </c>
      <c r="J43" s="19">
        <f>ใบผ่านรายการ3!F62</f>
        <v>0</v>
      </c>
      <c r="K43" s="60">
        <f>60385+60385</f>
        <v>120770</v>
      </c>
      <c r="L43" s="412"/>
    </row>
    <row r="44" spans="1:12" ht="16.5" customHeight="1">
      <c r="A44" s="17"/>
      <c r="B44" s="18"/>
      <c r="C44" s="18"/>
      <c r="D44" s="19">
        <f t="shared" si="1"/>
        <v>682700</v>
      </c>
      <c r="E44" s="126" t="s">
        <v>392</v>
      </c>
      <c r="F44" s="30"/>
      <c r="G44" s="30"/>
      <c r="H44" s="30"/>
      <c r="I44" s="22" t="s">
        <v>257</v>
      </c>
      <c r="J44" s="19">
        <f>ใบผ่านรายการ3!F60</f>
        <v>0</v>
      </c>
      <c r="K44" s="60">
        <f>341350+341350</f>
        <v>682700</v>
      </c>
      <c r="L44" s="412"/>
    </row>
    <row r="45" spans="1:12" ht="16.5" customHeight="1">
      <c r="A45" s="17"/>
      <c r="B45" s="18"/>
      <c r="C45" s="18"/>
      <c r="D45" s="19">
        <f t="shared" si="1"/>
        <v>57486</v>
      </c>
      <c r="E45" s="819" t="s">
        <v>594</v>
      </c>
      <c r="F45" s="820"/>
      <c r="G45" s="820"/>
      <c r="H45" s="821"/>
      <c r="I45" s="22" t="s">
        <v>257</v>
      </c>
      <c r="J45" s="19">
        <f>ใบผ่านรายการ3!F63</f>
        <v>0</v>
      </c>
      <c r="K45" s="60">
        <f>14372+14371+14372+14371</f>
        <v>57486</v>
      </c>
      <c r="L45" s="412"/>
    </row>
    <row r="46" spans="1:12" ht="16.5" customHeight="1">
      <c r="A46" s="17"/>
      <c r="B46" s="18"/>
      <c r="C46" s="18"/>
      <c r="D46" s="19">
        <f t="shared" si="1"/>
        <v>1445304</v>
      </c>
      <c r="E46" s="819" t="s">
        <v>595</v>
      </c>
      <c r="F46" s="820"/>
      <c r="G46" s="820"/>
      <c r="H46" s="821"/>
      <c r="I46" s="22" t="s">
        <v>257</v>
      </c>
      <c r="J46" s="19">
        <f>ใบผ่านรายการ3!F65</f>
        <v>0</v>
      </c>
      <c r="K46" s="60">
        <f>364557+364557+358329+357861</f>
        <v>1445304</v>
      </c>
      <c r="L46" s="412"/>
    </row>
    <row r="47" spans="1:12" ht="16.5" customHeight="1">
      <c r="A47" s="17"/>
      <c r="B47" s="18"/>
      <c r="C47" s="18"/>
      <c r="D47" s="19">
        <f t="shared" si="1"/>
        <v>147000</v>
      </c>
      <c r="E47" s="819" t="s">
        <v>596</v>
      </c>
      <c r="F47" s="820"/>
      <c r="G47" s="820"/>
      <c r="H47" s="821"/>
      <c r="I47" s="22" t="s">
        <v>257</v>
      </c>
      <c r="J47" s="19">
        <f>ใบผ่านรายการ3!F64</f>
        <v>0</v>
      </c>
      <c r="K47" s="60">
        <f>39000+36000+36000+36000</f>
        <v>147000</v>
      </c>
      <c r="L47" s="412"/>
    </row>
    <row r="48" spans="1:12" ht="16.5" customHeight="1">
      <c r="A48" s="17"/>
      <c r="B48" s="18"/>
      <c r="C48" s="18"/>
      <c r="D48" s="19">
        <f t="shared" si="1"/>
        <v>3027480</v>
      </c>
      <c r="E48" s="819" t="s">
        <v>597</v>
      </c>
      <c r="F48" s="820"/>
      <c r="G48" s="820"/>
      <c r="H48" s="821"/>
      <c r="I48" s="22" t="s">
        <v>257</v>
      </c>
      <c r="J48" s="19">
        <f>ใบผ่านรายการ3!F66</f>
        <v>0</v>
      </c>
      <c r="K48" s="60">
        <f>761000+761000+748000+757480</f>
        <v>3027480</v>
      </c>
      <c r="L48" s="412"/>
    </row>
    <row r="49" spans="1:12" ht="16.5" customHeight="1">
      <c r="A49" s="17"/>
      <c r="B49" s="18"/>
      <c r="C49" s="18"/>
      <c r="D49" s="19">
        <f t="shared" si="1"/>
        <v>6112750</v>
      </c>
      <c r="E49" s="819" t="s">
        <v>598</v>
      </c>
      <c r="F49" s="820"/>
      <c r="G49" s="820"/>
      <c r="H49" s="821"/>
      <c r="I49" s="22" t="s">
        <v>257</v>
      </c>
      <c r="J49" s="19">
        <f>ใบผ่านรายการ3!F67</f>
        <v>0</v>
      </c>
      <c r="K49" s="60">
        <f>1469580+1469580+1509815+1663775</f>
        <v>6112750</v>
      </c>
      <c r="L49" s="412"/>
    </row>
    <row r="50" spans="1:12" ht="16.5" customHeight="1">
      <c r="A50" s="17"/>
      <c r="B50" s="18"/>
      <c r="C50" s="18"/>
      <c r="D50" s="19">
        <f t="shared" si="1"/>
        <v>365000</v>
      </c>
      <c r="E50" s="808" t="s">
        <v>684</v>
      </c>
      <c r="F50" s="809"/>
      <c r="G50" s="809"/>
      <c r="H50" s="810"/>
      <c r="I50" s="22" t="s">
        <v>257</v>
      </c>
      <c r="J50" s="19">
        <f>ใบผ่านรายการ3!F70</f>
        <v>0</v>
      </c>
      <c r="K50" s="60">
        <f>15000+350000</f>
        <v>365000</v>
      </c>
      <c r="L50" s="412"/>
    </row>
    <row r="51" spans="1:12" ht="16.5" customHeight="1">
      <c r="A51" s="17"/>
      <c r="B51" s="18"/>
      <c r="C51" s="18"/>
      <c r="D51" s="19">
        <f t="shared" si="1"/>
        <v>126480</v>
      </c>
      <c r="E51" s="808" t="s">
        <v>685</v>
      </c>
      <c r="F51" s="809"/>
      <c r="G51" s="809"/>
      <c r="H51" s="810"/>
      <c r="I51" s="22" t="s">
        <v>257</v>
      </c>
      <c r="J51" s="154">
        <v>0</v>
      </c>
      <c r="K51" s="60">
        <f>126480</f>
        <v>126480</v>
      </c>
      <c r="L51" s="412"/>
    </row>
    <row r="52" spans="1:12" ht="16.5" customHeight="1">
      <c r="A52" s="17"/>
      <c r="B52" s="18"/>
      <c r="C52" s="18"/>
      <c r="D52" s="19">
        <f t="shared" si="1"/>
        <v>190194</v>
      </c>
      <c r="E52" s="808" t="s">
        <v>686</v>
      </c>
      <c r="F52" s="809"/>
      <c r="G52" s="809"/>
      <c r="H52" s="810"/>
      <c r="I52" s="22" t="s">
        <v>257</v>
      </c>
      <c r="J52" s="154">
        <v>0</v>
      </c>
      <c r="K52" s="60">
        <v>190194</v>
      </c>
      <c r="L52" s="412"/>
    </row>
    <row r="53" spans="1:11" ht="16.5" customHeight="1">
      <c r="A53" s="17"/>
      <c r="B53" s="18"/>
      <c r="C53" s="18">
        <f>B53</f>
        <v>0</v>
      </c>
      <c r="D53" s="19">
        <f t="shared" si="1"/>
        <v>0</v>
      </c>
      <c r="E53" s="29" t="s">
        <v>368</v>
      </c>
      <c r="F53" s="30"/>
      <c r="G53" s="30"/>
      <c r="H53" s="30"/>
      <c r="I53" s="22" t="s">
        <v>257</v>
      </c>
      <c r="J53" s="19">
        <v>0</v>
      </c>
      <c r="K53" s="60">
        <v>0</v>
      </c>
    </row>
    <row r="54" spans="1:11" ht="16.5" customHeight="1" hidden="1">
      <c r="A54" s="17"/>
      <c r="B54" s="18">
        <f>D54</f>
        <v>0</v>
      </c>
      <c r="C54" s="18">
        <f aca="true" t="shared" si="4" ref="C54:C66">A54</f>
        <v>0</v>
      </c>
      <c r="D54" s="19">
        <f t="shared" si="1"/>
        <v>0</v>
      </c>
      <c r="E54" s="126" t="s">
        <v>307</v>
      </c>
      <c r="F54" s="30"/>
      <c r="G54" s="30"/>
      <c r="H54" s="30"/>
      <c r="I54" s="22" t="s">
        <v>257</v>
      </c>
      <c r="J54" s="19">
        <v>0</v>
      </c>
      <c r="K54" s="60">
        <v>0</v>
      </c>
    </row>
    <row r="55" spans="1:11" ht="16.5" customHeight="1">
      <c r="A55" s="17"/>
      <c r="B55" s="18">
        <f>D55</f>
        <v>96000</v>
      </c>
      <c r="C55" s="18">
        <f t="shared" si="4"/>
        <v>0</v>
      </c>
      <c r="D55" s="19">
        <f>J55+K55</f>
        <v>96000</v>
      </c>
      <c r="E55" s="126" t="s">
        <v>632</v>
      </c>
      <c r="F55" s="30"/>
      <c r="G55" s="30"/>
      <c r="H55" s="30"/>
      <c r="I55" s="22" t="s">
        <v>257</v>
      </c>
      <c r="J55" s="19">
        <v>0</v>
      </c>
      <c r="K55" s="60">
        <v>96000</v>
      </c>
    </row>
    <row r="56" spans="1:11" ht="16.5" customHeight="1">
      <c r="A56" s="17"/>
      <c r="B56" s="18">
        <v>0</v>
      </c>
      <c r="C56" s="18">
        <f t="shared" si="4"/>
        <v>0</v>
      </c>
      <c r="D56" s="19">
        <f t="shared" si="1"/>
        <v>0</v>
      </c>
      <c r="E56" s="21" t="s">
        <v>94</v>
      </c>
      <c r="F56" s="21"/>
      <c r="G56" s="21"/>
      <c r="H56" s="21"/>
      <c r="I56" s="22" t="s">
        <v>258</v>
      </c>
      <c r="J56" s="19">
        <f>'ใบผ่านรายการ 1 '!H15</f>
        <v>0</v>
      </c>
      <c r="K56" s="60">
        <v>0</v>
      </c>
    </row>
    <row r="57" spans="1:12" ht="16.5" customHeight="1">
      <c r="A57" s="17"/>
      <c r="B57" s="18">
        <v>0</v>
      </c>
      <c r="C57" s="18">
        <f t="shared" si="4"/>
        <v>0</v>
      </c>
      <c r="D57" s="19">
        <f t="shared" si="1"/>
        <v>584415.69</v>
      </c>
      <c r="E57" s="21" t="s">
        <v>87</v>
      </c>
      <c r="F57" s="21"/>
      <c r="G57" s="21"/>
      <c r="H57" s="21"/>
      <c r="I57" s="22" t="s">
        <v>191</v>
      </c>
      <c r="J57" s="19">
        <f>'ใบผ่านรายการ 1 '!I20+'ใบผ่านรายการ  2'!H46</f>
        <v>81679.38</v>
      </c>
      <c r="K57" s="60">
        <f>33090.4+19115.91+49118.57+34234.73+197545.75+25449.93+21407.47+35547.85+62671.16+24554.54</f>
        <v>502736.31</v>
      </c>
      <c r="L57" s="412"/>
    </row>
    <row r="58" spans="1:11" ht="16.5" customHeight="1" hidden="1">
      <c r="A58" s="17"/>
      <c r="B58" s="18">
        <f>D58</f>
        <v>0</v>
      </c>
      <c r="C58" s="18">
        <f t="shared" si="4"/>
        <v>0</v>
      </c>
      <c r="D58" s="19">
        <f t="shared" si="1"/>
        <v>0</v>
      </c>
      <c r="E58" s="21" t="s">
        <v>81</v>
      </c>
      <c r="F58" s="21"/>
      <c r="G58" s="21"/>
      <c r="H58" s="21"/>
      <c r="I58" s="22" t="s">
        <v>262</v>
      </c>
      <c r="J58" s="19">
        <v>0</v>
      </c>
      <c r="K58" s="60">
        <v>0</v>
      </c>
    </row>
    <row r="59" spans="1:13" ht="17.25">
      <c r="A59" s="17"/>
      <c r="B59" s="18">
        <v>0</v>
      </c>
      <c r="C59" s="18">
        <f t="shared" si="4"/>
        <v>0</v>
      </c>
      <c r="D59" s="19">
        <f t="shared" si="1"/>
        <v>5500</v>
      </c>
      <c r="E59" s="21" t="s">
        <v>139</v>
      </c>
      <c r="F59" s="21"/>
      <c r="G59" s="21"/>
      <c r="H59" s="21"/>
      <c r="I59" s="22" t="s">
        <v>253</v>
      </c>
      <c r="J59" s="19">
        <f>'ใบผ่านรายการ 1 '!H31+'ใบผ่านรายการ 1 '!H32</f>
        <v>0</v>
      </c>
      <c r="K59" s="60">
        <f>600+1900+800+800+1400</f>
        <v>5500</v>
      </c>
      <c r="M59" s="412"/>
    </row>
    <row r="60" spans="1:13" ht="17.25" hidden="1">
      <c r="A60" s="36"/>
      <c r="B60" s="18">
        <v>0</v>
      </c>
      <c r="C60" s="18">
        <f t="shared" si="4"/>
        <v>0</v>
      </c>
      <c r="D60" s="19">
        <f t="shared" si="1"/>
        <v>0</v>
      </c>
      <c r="E60" s="37" t="s">
        <v>143</v>
      </c>
      <c r="F60" s="37"/>
      <c r="G60" s="37"/>
      <c r="H60" s="37"/>
      <c r="I60" s="22" t="s">
        <v>276</v>
      </c>
      <c r="J60" s="19">
        <v>0</v>
      </c>
      <c r="K60" s="60">
        <v>0</v>
      </c>
      <c r="M60" s="412"/>
    </row>
    <row r="61" spans="1:13" ht="17.25" hidden="1">
      <c r="A61" s="17"/>
      <c r="B61" s="18">
        <v>0</v>
      </c>
      <c r="C61" s="18">
        <f t="shared" si="4"/>
        <v>0</v>
      </c>
      <c r="D61" s="19">
        <f t="shared" si="1"/>
        <v>0</v>
      </c>
      <c r="E61" s="37" t="s">
        <v>144</v>
      </c>
      <c r="F61" s="37"/>
      <c r="G61" s="37"/>
      <c r="H61" s="37"/>
      <c r="I61" s="22" t="s">
        <v>276</v>
      </c>
      <c r="J61" s="19">
        <f>'ใบผ่านรายการ 1 '!H29</f>
        <v>0</v>
      </c>
      <c r="K61" s="60">
        <v>0</v>
      </c>
      <c r="M61" s="412"/>
    </row>
    <row r="62" spans="1:11" ht="17.25">
      <c r="A62" s="17"/>
      <c r="B62" s="18">
        <v>0</v>
      </c>
      <c r="C62" s="18">
        <f t="shared" si="4"/>
        <v>0</v>
      </c>
      <c r="D62" s="19">
        <f t="shared" si="1"/>
        <v>19500</v>
      </c>
      <c r="E62" s="37" t="s">
        <v>154</v>
      </c>
      <c r="F62" s="37"/>
      <c r="G62" s="37"/>
      <c r="H62" s="37"/>
      <c r="I62" s="22" t="s">
        <v>257</v>
      </c>
      <c r="J62" s="19">
        <v>0</v>
      </c>
      <c r="K62" s="60">
        <f>19000+500</f>
        <v>19500</v>
      </c>
    </row>
    <row r="63" spans="1:11" ht="17.25">
      <c r="A63" s="17"/>
      <c r="B63" s="18">
        <v>0</v>
      </c>
      <c r="C63" s="18">
        <f t="shared" si="4"/>
        <v>0</v>
      </c>
      <c r="D63" s="19">
        <f t="shared" si="1"/>
        <v>63.9</v>
      </c>
      <c r="E63" s="37" t="s">
        <v>689</v>
      </c>
      <c r="F63" s="37"/>
      <c r="G63" s="37"/>
      <c r="H63" s="37"/>
      <c r="I63" s="22" t="s">
        <v>257</v>
      </c>
      <c r="J63" s="19">
        <f>'ใบผ่านรายการ 1 '!H30</f>
        <v>0</v>
      </c>
      <c r="K63" s="60">
        <v>63.9</v>
      </c>
    </row>
    <row r="64" spans="1:11" ht="17.25">
      <c r="A64" s="17"/>
      <c r="B64" s="18">
        <v>0</v>
      </c>
      <c r="C64" s="18">
        <f t="shared" si="4"/>
        <v>0</v>
      </c>
      <c r="D64" s="19">
        <f t="shared" si="1"/>
        <v>51240</v>
      </c>
      <c r="E64" s="37" t="s">
        <v>159</v>
      </c>
      <c r="F64" s="37"/>
      <c r="G64" s="37"/>
      <c r="H64" s="37"/>
      <c r="I64" s="22" t="s">
        <v>257</v>
      </c>
      <c r="J64" s="19">
        <f>'ใบผ่านรายการ 1 '!H34</f>
        <v>29500</v>
      </c>
      <c r="K64" s="60">
        <f>7540+1000+7200+6000</f>
        <v>21740</v>
      </c>
    </row>
    <row r="65" spans="1:11" ht="17.25">
      <c r="A65" s="17"/>
      <c r="B65" s="18">
        <v>0</v>
      </c>
      <c r="C65" s="18">
        <f t="shared" si="4"/>
        <v>0</v>
      </c>
      <c r="D65" s="19">
        <f t="shared" si="1"/>
        <v>26840</v>
      </c>
      <c r="E65" s="37" t="s">
        <v>639</v>
      </c>
      <c r="F65" s="37"/>
      <c r="G65" s="37"/>
      <c r="H65" s="37"/>
      <c r="I65" s="22" t="s">
        <v>373</v>
      </c>
      <c r="J65" s="19">
        <v>0</v>
      </c>
      <c r="K65" s="60">
        <f>26840</f>
        <v>26840</v>
      </c>
    </row>
    <row r="66" spans="1:11" ht="17.25" hidden="1">
      <c r="A66" s="25"/>
      <c r="B66" s="18">
        <f>D66</f>
        <v>0</v>
      </c>
      <c r="C66" s="18">
        <f t="shared" si="4"/>
        <v>0</v>
      </c>
      <c r="D66" s="19">
        <f>J66</f>
        <v>0</v>
      </c>
      <c r="E66" s="21"/>
      <c r="F66" s="21"/>
      <c r="G66" s="21"/>
      <c r="H66" s="21"/>
      <c r="I66" s="22"/>
      <c r="J66" s="19">
        <v>0</v>
      </c>
      <c r="K66" s="35">
        <v>0</v>
      </c>
    </row>
    <row r="67" spans="1:11" ht="18" thickBot="1">
      <c r="A67" s="65">
        <f>SUM(A11:A66)</f>
        <v>53556093</v>
      </c>
      <c r="B67" s="65">
        <f>SUM(B11:B66)</f>
        <v>96000</v>
      </c>
      <c r="C67" s="65">
        <f>SUM(C11:C66)</f>
        <v>53556093</v>
      </c>
      <c r="D67" s="42">
        <f>SUM(D11:D66)</f>
        <v>45382726.42999999</v>
      </c>
      <c r="E67" s="845" t="s">
        <v>66</v>
      </c>
      <c r="F67" s="846"/>
      <c r="G67" s="846"/>
      <c r="H67" s="846"/>
      <c r="I67" s="69"/>
      <c r="J67" s="42">
        <f>SUM(J11:J66)</f>
        <v>2356889.2099999995</v>
      </c>
      <c r="K67" s="54">
        <f>SUM(K9:K65)</f>
        <v>43025837.22</v>
      </c>
    </row>
    <row r="68" spans="1:11" ht="16.5" customHeight="1" hidden="1" thickTop="1">
      <c r="A68" s="38"/>
      <c r="B68" s="38"/>
      <c r="C68" s="38"/>
      <c r="D68" s="522"/>
      <c r="E68" s="519"/>
      <c r="F68" s="519"/>
      <c r="G68" s="519"/>
      <c r="H68" s="519"/>
      <c r="I68" s="520"/>
      <c r="J68" s="522"/>
      <c r="K68" s="521"/>
    </row>
    <row r="69" spans="1:11" ht="16.5" customHeight="1" hidden="1">
      <c r="A69" s="38"/>
      <c r="B69" s="38"/>
      <c r="C69" s="38"/>
      <c r="D69" s="522"/>
      <c r="E69" s="519"/>
      <c r="F69" s="519"/>
      <c r="G69" s="519"/>
      <c r="H69" s="519"/>
      <c r="I69" s="520"/>
      <c r="J69" s="522"/>
      <c r="K69" s="521"/>
    </row>
    <row r="70" spans="1:10" ht="16.5" customHeight="1" thickBot="1" thickTop="1">
      <c r="A70" s="847" t="s">
        <v>301</v>
      </c>
      <c r="B70" s="847"/>
      <c r="C70" s="847"/>
      <c r="D70" s="847"/>
      <c r="E70" s="847"/>
      <c r="F70" s="847"/>
      <c r="G70" s="847"/>
      <c r="H70" s="847"/>
      <c r="I70" s="847"/>
      <c r="J70" s="847"/>
    </row>
    <row r="71" spans="1:11" ht="16.5" customHeight="1" thickTop="1">
      <c r="A71" s="841" t="s">
        <v>26</v>
      </c>
      <c r="B71" s="842"/>
      <c r="C71" s="842"/>
      <c r="D71" s="843"/>
      <c r="E71" s="813" t="s">
        <v>52</v>
      </c>
      <c r="F71" s="814"/>
      <c r="G71" s="814"/>
      <c r="H71" s="814"/>
      <c r="I71" s="837" t="s">
        <v>47</v>
      </c>
      <c r="J71" s="70" t="s">
        <v>46</v>
      </c>
      <c r="K71" s="811" t="s">
        <v>29</v>
      </c>
    </row>
    <row r="72" spans="1:11" ht="16.5" customHeight="1">
      <c r="A72" s="13" t="s">
        <v>28</v>
      </c>
      <c r="B72" s="80" t="s">
        <v>268</v>
      </c>
      <c r="C72" s="14" t="s">
        <v>70</v>
      </c>
      <c r="D72" s="13" t="s">
        <v>29</v>
      </c>
      <c r="E72" s="815"/>
      <c r="F72" s="816"/>
      <c r="G72" s="816"/>
      <c r="H72" s="816"/>
      <c r="I72" s="838"/>
      <c r="J72" s="13" t="s">
        <v>27</v>
      </c>
      <c r="K72" s="811"/>
    </row>
    <row r="73" spans="1:11" ht="16.5" customHeight="1">
      <c r="A73" s="13" t="s">
        <v>30</v>
      </c>
      <c r="B73" s="80" t="s">
        <v>269</v>
      </c>
      <c r="C73" s="14" t="s">
        <v>30</v>
      </c>
      <c r="D73" s="13" t="s">
        <v>30</v>
      </c>
      <c r="E73" s="815"/>
      <c r="F73" s="816"/>
      <c r="G73" s="816"/>
      <c r="H73" s="816"/>
      <c r="I73" s="838"/>
      <c r="J73" s="13" t="s">
        <v>271</v>
      </c>
      <c r="K73" s="811"/>
    </row>
    <row r="74" spans="1:11" ht="16.5" customHeight="1" thickBot="1">
      <c r="A74" s="15"/>
      <c r="B74" s="10" t="s">
        <v>270</v>
      </c>
      <c r="C74" s="16"/>
      <c r="D74" s="15"/>
      <c r="E74" s="817"/>
      <c r="F74" s="818"/>
      <c r="G74" s="818"/>
      <c r="H74" s="818"/>
      <c r="I74" s="839"/>
      <c r="J74" s="15" t="s">
        <v>272</v>
      </c>
      <c r="K74" s="812"/>
    </row>
    <row r="75" spans="1:11" ht="16.5" customHeight="1" thickTop="1">
      <c r="A75" s="79"/>
      <c r="B75" s="18"/>
      <c r="C75" s="18"/>
      <c r="D75" s="17"/>
      <c r="E75" s="43" t="s">
        <v>67</v>
      </c>
      <c r="F75" s="21"/>
      <c r="G75" s="21"/>
      <c r="H75" s="21"/>
      <c r="I75" s="44"/>
      <c r="J75" s="18"/>
      <c r="K75" s="45"/>
    </row>
    <row r="76" spans="1:11" ht="16.5" customHeight="1">
      <c r="A76" s="18">
        <v>9794103</v>
      </c>
      <c r="B76" s="18"/>
      <c r="C76" s="18">
        <f>A76</f>
        <v>9794103</v>
      </c>
      <c r="D76" s="76">
        <f>J76+K76</f>
        <v>3194739.47</v>
      </c>
      <c r="E76" s="26" t="s">
        <v>45</v>
      </c>
      <c r="F76" s="21"/>
      <c r="G76" s="46"/>
      <c r="H76" s="21"/>
      <c r="I76" s="22" t="s">
        <v>205</v>
      </c>
      <c r="J76" s="34">
        <f>'ใบผ่านรายการ  2'!E6</f>
        <v>249327</v>
      </c>
      <c r="K76" s="45">
        <f>619033+575401.5+168047.75+455332.99+145303+144803+188847.15+151244.5+148373.75+349025.83</f>
        <v>2945412.47</v>
      </c>
    </row>
    <row r="77" spans="1:16" s="11" customFormat="1" ht="16.5" customHeight="1">
      <c r="A77" s="25">
        <v>2624640</v>
      </c>
      <c r="B77" s="40"/>
      <c r="C77" s="18">
        <f aca="true" t="shared" si="5" ref="C77:C88">A77</f>
        <v>2624640</v>
      </c>
      <c r="D77" s="76">
        <f aca="true" t="shared" si="6" ref="D77:D112">J77+K77</f>
        <v>2405920</v>
      </c>
      <c r="E77" s="47" t="s">
        <v>186</v>
      </c>
      <c r="F77" s="37"/>
      <c r="G77" s="37"/>
      <c r="H77" s="37"/>
      <c r="I77" s="22" t="s">
        <v>259</v>
      </c>
      <c r="J77" s="34">
        <f>'ใบผ่านรายการ  2'!E8</f>
        <v>218720</v>
      </c>
      <c r="K77" s="49">
        <f>218720+218720+218720+218720+218720+218720+218720+218720+218720+218720</f>
        <v>2187200</v>
      </c>
      <c r="L77" s="38"/>
      <c r="M77" s="12"/>
      <c r="N77" s="12"/>
      <c r="O77" s="12"/>
      <c r="P77" s="12"/>
    </row>
    <row r="78" spans="1:16" s="11" customFormat="1" ht="16.5" customHeight="1">
      <c r="A78" s="25">
        <v>14836170</v>
      </c>
      <c r="B78" s="40"/>
      <c r="C78" s="18">
        <f t="shared" si="5"/>
        <v>14836170</v>
      </c>
      <c r="D78" s="76">
        <f t="shared" si="6"/>
        <v>10881163.35</v>
      </c>
      <c r="E78" s="47" t="s">
        <v>187</v>
      </c>
      <c r="F78" s="37"/>
      <c r="G78" s="37"/>
      <c r="H78" s="37"/>
      <c r="I78" s="22" t="s">
        <v>259</v>
      </c>
      <c r="J78" s="34">
        <f>'ใบผ่านรายการ  2'!E9</f>
        <v>1033715</v>
      </c>
      <c r="K78" s="49">
        <f>999096.6+1002592.75+989706+982600+981600+977180+979159+948505+948505+1038504</f>
        <v>9847448.35</v>
      </c>
      <c r="L78" s="38"/>
      <c r="M78" s="12"/>
      <c r="N78" s="12"/>
      <c r="O78" s="12"/>
      <c r="P78" s="12"/>
    </row>
    <row r="79" spans="1:16" s="11" customFormat="1" ht="16.5" customHeight="1">
      <c r="A79" s="25">
        <v>931260</v>
      </c>
      <c r="B79" s="40"/>
      <c r="C79" s="18">
        <f t="shared" si="5"/>
        <v>931260</v>
      </c>
      <c r="D79" s="76">
        <f t="shared" si="6"/>
        <v>831200</v>
      </c>
      <c r="E79" s="47" t="s">
        <v>188</v>
      </c>
      <c r="F79" s="37"/>
      <c r="G79" s="37"/>
      <c r="H79" s="37"/>
      <c r="I79" s="22" t="s">
        <v>259</v>
      </c>
      <c r="J79" s="34">
        <f>'ใบผ่านรายการ  2'!E10</f>
        <v>76480</v>
      </c>
      <c r="K79" s="49">
        <f>74800+74800+74800+74800+74800+74800+76480+76480+76480+76480</f>
        <v>754720</v>
      </c>
      <c r="L79" s="38">
        <f>SUM(J78:J80)</f>
        <v>1434600</v>
      </c>
      <c r="M79" s="12"/>
      <c r="N79" s="12"/>
      <c r="O79" s="12"/>
      <c r="P79" s="12"/>
    </row>
    <row r="80" spans="1:16" s="11" customFormat="1" ht="16.5" customHeight="1">
      <c r="A80" s="50">
        <v>4610520</v>
      </c>
      <c r="B80" s="48"/>
      <c r="C80" s="18">
        <f t="shared" si="5"/>
        <v>4610520</v>
      </c>
      <c r="D80" s="76">
        <f t="shared" si="6"/>
        <v>3758455</v>
      </c>
      <c r="E80" s="47" t="s">
        <v>189</v>
      </c>
      <c r="F80" s="37"/>
      <c r="G80" s="37"/>
      <c r="H80" s="37"/>
      <c r="I80" s="22" t="s">
        <v>259</v>
      </c>
      <c r="J80" s="34">
        <f>'ใบผ่านรายการ  2'!E11</f>
        <v>324405</v>
      </c>
      <c r="K80" s="49">
        <f>213285+213285+636645+354405+354405+344405+334405+334405+324405+324405</f>
        <v>3434050</v>
      </c>
      <c r="L80" s="38"/>
      <c r="M80" s="12"/>
      <c r="N80" s="12"/>
      <c r="O80" s="12"/>
      <c r="P80" s="12"/>
    </row>
    <row r="81" spans="1:11" ht="16.5" customHeight="1">
      <c r="A81" s="25">
        <v>715400</v>
      </c>
      <c r="B81" s="18"/>
      <c r="C81" s="18">
        <f t="shared" si="5"/>
        <v>715400</v>
      </c>
      <c r="D81" s="76">
        <f t="shared" si="6"/>
        <v>431800</v>
      </c>
      <c r="E81" s="47" t="s">
        <v>0</v>
      </c>
      <c r="F81" s="37"/>
      <c r="G81" s="37"/>
      <c r="H81" s="37"/>
      <c r="I81" s="22" t="s">
        <v>199</v>
      </c>
      <c r="J81" s="34">
        <f>'ใบผ่านรายการ  2'!E12</f>
        <v>46950</v>
      </c>
      <c r="K81" s="49">
        <f>20450+53450+45250+36100+53550+38050+29950+38250+26950+42850</f>
        <v>384850</v>
      </c>
    </row>
    <row r="82" spans="1:13" ht="16.5" customHeight="1">
      <c r="A82" s="25">
        <v>9242400</v>
      </c>
      <c r="B82" s="18"/>
      <c r="C82" s="18">
        <f t="shared" si="5"/>
        <v>9242400</v>
      </c>
      <c r="D82" s="76">
        <f t="shared" si="6"/>
        <v>6166899.54</v>
      </c>
      <c r="E82" s="47" t="s">
        <v>1</v>
      </c>
      <c r="F82" s="37"/>
      <c r="G82" s="37"/>
      <c r="H82" s="37"/>
      <c r="I82" s="22" t="s">
        <v>193</v>
      </c>
      <c r="J82" s="34">
        <f>'ใบผ่านรายการ  2'!E14</f>
        <v>1322732.17</v>
      </c>
      <c r="K82" s="49">
        <f>100+1001063.42+253744.91+1121820.75+139998.06+180560.15+185713.73+1338636.33+406160.28+216369.74</f>
        <v>4844167.37</v>
      </c>
      <c r="L82" s="412">
        <f>SUM(J76:J88)</f>
        <v>3792627.15</v>
      </c>
      <c r="M82" s="412">
        <f>L82+L83</f>
        <v>32058360.959999997</v>
      </c>
    </row>
    <row r="83" spans="1:12" ht="16.5" customHeight="1">
      <c r="A83" s="25">
        <v>2979000</v>
      </c>
      <c r="B83" s="18"/>
      <c r="C83" s="18">
        <f>A83</f>
        <v>2979000</v>
      </c>
      <c r="D83" s="76">
        <f t="shared" si="6"/>
        <v>1685956.2600000002</v>
      </c>
      <c r="E83" s="47" t="s">
        <v>2</v>
      </c>
      <c r="F83" s="37"/>
      <c r="G83" s="37"/>
      <c r="H83" s="37"/>
      <c r="I83" s="22" t="s">
        <v>261</v>
      </c>
      <c r="J83" s="34">
        <f>'ใบผ่านรายการ  2'!E15</f>
        <v>264157.04</v>
      </c>
      <c r="K83" s="49">
        <f>89619.75+67848.35+77917.1+138808.65+421442.9+94927.3+479543.55+50371.62+1320</f>
        <v>1421799.2200000002</v>
      </c>
      <c r="L83" s="412">
        <f>SUM(K76:K88)</f>
        <v>28265733.81</v>
      </c>
    </row>
    <row r="84" spans="1:13" ht="16.5" customHeight="1">
      <c r="A84" s="25">
        <v>630000</v>
      </c>
      <c r="B84" s="18"/>
      <c r="C84" s="18">
        <f t="shared" si="5"/>
        <v>630000</v>
      </c>
      <c r="D84" s="76">
        <f t="shared" si="6"/>
        <v>361589.41</v>
      </c>
      <c r="E84" s="47" t="s">
        <v>3</v>
      </c>
      <c r="F84" s="37"/>
      <c r="G84" s="37"/>
      <c r="H84" s="37"/>
      <c r="I84" s="22" t="s">
        <v>260</v>
      </c>
      <c r="J84" s="34">
        <f>'ใบผ่านรายการ  2'!E16</f>
        <v>56140.94</v>
      </c>
      <c r="K84" s="49">
        <f>1750.31+47363.15+35827.58+32737.72+32121.11+23920.45+34848.74+34320.06+36459.73+26099.62</f>
        <v>305448.47</v>
      </c>
      <c r="L84" s="412"/>
      <c r="M84" s="412">
        <f>D78+D79+D80</f>
        <v>15470818.35</v>
      </c>
    </row>
    <row r="85" spans="1:11" ht="16.5" customHeight="1">
      <c r="A85" s="25">
        <v>267600</v>
      </c>
      <c r="B85" s="18"/>
      <c r="C85" s="18">
        <f t="shared" si="5"/>
        <v>267600</v>
      </c>
      <c r="D85" s="76">
        <f t="shared" si="6"/>
        <v>385059</v>
      </c>
      <c r="E85" s="47" t="s">
        <v>80</v>
      </c>
      <c r="F85" s="37"/>
      <c r="G85" s="37"/>
      <c r="H85" s="37"/>
      <c r="I85" s="22" t="s">
        <v>201</v>
      </c>
      <c r="J85" s="34">
        <f>กระดาษทำการ!I27</f>
        <v>0</v>
      </c>
      <c r="K85" s="49">
        <f>97100+135393+103374+33500+12192+3500</f>
        <v>385059</v>
      </c>
    </row>
    <row r="86" spans="1:11" ht="16.5" customHeight="1">
      <c r="A86" s="25">
        <v>1531000</v>
      </c>
      <c r="B86" s="18"/>
      <c r="C86" s="18">
        <f t="shared" si="5"/>
        <v>1531000</v>
      </c>
      <c r="D86" s="76">
        <f t="shared" si="6"/>
        <v>491000</v>
      </c>
      <c r="E86" s="47" t="s">
        <v>5</v>
      </c>
      <c r="F86" s="37"/>
      <c r="G86" s="37"/>
      <c r="H86" s="37"/>
      <c r="I86" s="22" t="s">
        <v>202</v>
      </c>
      <c r="J86" s="34">
        <f>กระดาษทำการ!I28</f>
        <v>0</v>
      </c>
      <c r="K86" s="49">
        <f>231000+160000+100000</f>
        <v>491000</v>
      </c>
    </row>
    <row r="87" spans="1:11" ht="16.5" customHeight="1">
      <c r="A87" s="50">
        <v>20000</v>
      </c>
      <c r="B87" s="32"/>
      <c r="C87" s="18">
        <f t="shared" si="5"/>
        <v>20000</v>
      </c>
      <c r="D87" s="76">
        <f t="shared" si="6"/>
        <v>0</v>
      </c>
      <c r="E87" s="47" t="s">
        <v>68</v>
      </c>
      <c r="F87" s="37"/>
      <c r="G87" s="37"/>
      <c r="H87" s="37"/>
      <c r="I87" s="22" t="s">
        <v>203</v>
      </c>
      <c r="J87" s="34">
        <f>กระดาษทำการ!K31</f>
        <v>0</v>
      </c>
      <c r="K87" s="49">
        <v>0</v>
      </c>
    </row>
    <row r="88" spans="1:11" ht="16.5" customHeight="1">
      <c r="A88" s="25">
        <v>2095000</v>
      </c>
      <c r="B88" s="18"/>
      <c r="C88" s="18">
        <f t="shared" si="5"/>
        <v>2095000</v>
      </c>
      <c r="D88" s="76">
        <f t="shared" si="6"/>
        <v>1464578.93</v>
      </c>
      <c r="E88" s="47" t="s">
        <v>4</v>
      </c>
      <c r="F88" s="37"/>
      <c r="G88" s="37"/>
      <c r="H88" s="37"/>
      <c r="I88" s="22" t="s">
        <v>200</v>
      </c>
      <c r="J88" s="34">
        <f>'ใบผ่านรายการ  2'!E17</f>
        <v>200000</v>
      </c>
      <c r="K88" s="49">
        <f>398000+100578.93+200000+188000+200000+178000</f>
        <v>1264578.93</v>
      </c>
    </row>
    <row r="89" spans="1:13" ht="16.5" customHeight="1">
      <c r="A89" s="25"/>
      <c r="B89" s="18"/>
      <c r="C89" s="18">
        <f aca="true" t="shared" si="7" ref="C89:C110">D89</f>
        <v>0</v>
      </c>
      <c r="D89" s="76">
        <f t="shared" si="6"/>
        <v>0</v>
      </c>
      <c r="E89" s="827" t="s">
        <v>6</v>
      </c>
      <c r="F89" s="828"/>
      <c r="G89" s="828"/>
      <c r="H89" s="828"/>
      <c r="I89" s="22" t="s">
        <v>191</v>
      </c>
      <c r="J89" s="34">
        <v>0</v>
      </c>
      <c r="K89" s="49">
        <v>0</v>
      </c>
      <c r="M89" s="412">
        <f>D81+D102</f>
        <v>615300</v>
      </c>
    </row>
    <row r="90" spans="1:11" ht="16.5" customHeight="1">
      <c r="A90" s="25"/>
      <c r="B90" s="40"/>
      <c r="C90" s="18"/>
      <c r="D90" s="76">
        <f t="shared" si="6"/>
        <v>0</v>
      </c>
      <c r="E90" s="137" t="s">
        <v>374</v>
      </c>
      <c r="F90" s="137"/>
      <c r="G90" s="137"/>
      <c r="H90" s="137"/>
      <c r="I90" s="44" t="s">
        <v>258</v>
      </c>
      <c r="J90" s="34">
        <f>'ใบผ่านรายการ  2'!E31</f>
        <v>0</v>
      </c>
      <c r="K90" s="49">
        <v>0</v>
      </c>
    </row>
    <row r="91" spans="1:11" ht="16.5" customHeight="1">
      <c r="A91" s="25"/>
      <c r="B91" s="40"/>
      <c r="C91" s="18"/>
      <c r="D91" s="76">
        <f t="shared" si="6"/>
        <v>5118994.62</v>
      </c>
      <c r="E91" s="37" t="s">
        <v>55</v>
      </c>
      <c r="F91" s="37"/>
      <c r="H91" s="37"/>
      <c r="I91" s="44" t="s">
        <v>247</v>
      </c>
      <c r="J91" s="76">
        <f>'ใบผ่านรายการ  2'!E24</f>
        <v>558200</v>
      </c>
      <c r="K91" s="49">
        <f>465600+466200+584100+497094.62+469900+492500+495500+617900+472000</f>
        <v>4560794.62</v>
      </c>
    </row>
    <row r="92" spans="1:11" ht="16.5" customHeight="1">
      <c r="A92" s="25"/>
      <c r="B92" s="40"/>
      <c r="C92" s="18"/>
      <c r="D92" s="76">
        <f t="shared" si="6"/>
        <v>0</v>
      </c>
      <c r="E92" s="37" t="s">
        <v>36</v>
      </c>
      <c r="F92" s="37"/>
      <c r="G92" s="37"/>
      <c r="H92" s="37"/>
      <c r="I92" s="44" t="s">
        <v>256</v>
      </c>
      <c r="J92" s="76">
        <f>'ใบผ่านรายการ  2'!E25</f>
        <v>0</v>
      </c>
      <c r="K92" s="49">
        <v>0</v>
      </c>
    </row>
    <row r="93" spans="1:11" ht="16.5" customHeight="1">
      <c r="A93" s="25"/>
      <c r="B93" s="40"/>
      <c r="C93" s="18"/>
      <c r="D93" s="76">
        <f t="shared" si="6"/>
        <v>0</v>
      </c>
      <c r="E93" s="827" t="s">
        <v>330</v>
      </c>
      <c r="F93" s="828"/>
      <c r="G93" s="828"/>
      <c r="H93" s="849"/>
      <c r="I93" s="44" t="s">
        <v>332</v>
      </c>
      <c r="J93" s="76">
        <f>'ใบผ่านรายการ  2'!E26</f>
        <v>0</v>
      </c>
      <c r="K93" s="49">
        <v>0</v>
      </c>
    </row>
    <row r="94" spans="1:12" ht="16.5" customHeight="1">
      <c r="A94" s="25"/>
      <c r="B94" s="40"/>
      <c r="C94" s="18"/>
      <c r="D94" s="76">
        <f t="shared" si="6"/>
        <v>1218298.39</v>
      </c>
      <c r="E94" s="37" t="s">
        <v>81</v>
      </c>
      <c r="F94" s="37"/>
      <c r="G94" s="37"/>
      <c r="H94" s="37"/>
      <c r="I94" s="44" t="s">
        <v>262</v>
      </c>
      <c r="J94" s="76">
        <f>'ใบผ่านรายการ  2'!E28</f>
        <v>0</v>
      </c>
      <c r="K94" s="49">
        <f>528103.24+500000+32700+8000+119995.15+29500</f>
        <v>1218298.39</v>
      </c>
      <c r="L94" s="412"/>
    </row>
    <row r="95" spans="1:11" ht="16.5" customHeight="1">
      <c r="A95" s="25"/>
      <c r="B95" s="40"/>
      <c r="C95" s="18"/>
      <c r="D95" s="76">
        <f t="shared" si="6"/>
        <v>2309000.6</v>
      </c>
      <c r="E95" s="37" t="s">
        <v>7</v>
      </c>
      <c r="F95" s="37"/>
      <c r="G95" s="37"/>
      <c r="H95" s="37"/>
      <c r="I95" s="44" t="s">
        <v>192</v>
      </c>
      <c r="J95" s="76">
        <f>'ใบผ่านรายการ  2'!E30</f>
        <v>591000</v>
      </c>
      <c r="K95" s="49">
        <f>790092.6+3960+440000+3948+480000</f>
        <v>1718000.6</v>
      </c>
    </row>
    <row r="96" spans="1:11" ht="16.5" customHeight="1">
      <c r="A96" s="25"/>
      <c r="B96" s="40"/>
      <c r="C96" s="18"/>
      <c r="D96" s="76">
        <f t="shared" si="6"/>
        <v>85313.1</v>
      </c>
      <c r="E96" s="37" t="s">
        <v>91</v>
      </c>
      <c r="F96" s="37"/>
      <c r="G96" s="37"/>
      <c r="H96" s="37"/>
      <c r="I96" s="44" t="s">
        <v>204</v>
      </c>
      <c r="J96" s="76">
        <f>'ใบผ่านรายการ  2'!E44</f>
        <v>0</v>
      </c>
      <c r="K96" s="49">
        <v>85313.1</v>
      </c>
    </row>
    <row r="97" spans="1:11" ht="16.5" customHeight="1">
      <c r="A97" s="25"/>
      <c r="B97" s="40"/>
      <c r="C97" s="18"/>
      <c r="D97" s="76">
        <f t="shared" si="6"/>
        <v>578043.74</v>
      </c>
      <c r="E97" s="37" t="s">
        <v>16</v>
      </c>
      <c r="F97" s="37"/>
      <c r="G97" s="37"/>
      <c r="H97" s="37"/>
      <c r="I97" s="22" t="s">
        <v>263</v>
      </c>
      <c r="J97" s="76">
        <f>'ใบผ่านรายการ  2'!G46</f>
        <v>23052.5</v>
      </c>
      <c r="K97" s="49">
        <f>25764.4+67674.4+31579.91+31216.57+177408.84+73259.98+23980.02+35582.49+64164.64+24359.99</f>
        <v>554991.24</v>
      </c>
    </row>
    <row r="98" spans="1:11" ht="16.5" customHeight="1">
      <c r="A98" s="25"/>
      <c r="B98" s="40"/>
      <c r="C98" s="18">
        <f t="shared" si="7"/>
        <v>0</v>
      </c>
      <c r="D98" s="76">
        <f t="shared" si="6"/>
        <v>0</v>
      </c>
      <c r="E98" s="47" t="s">
        <v>117</v>
      </c>
      <c r="F98" s="51"/>
      <c r="G98" s="51"/>
      <c r="H98" s="51"/>
      <c r="I98" s="52"/>
      <c r="J98" s="34">
        <v>0</v>
      </c>
      <c r="K98" s="49">
        <v>0</v>
      </c>
    </row>
    <row r="99" spans="1:11" ht="16.5" customHeight="1">
      <c r="A99" s="25"/>
      <c r="B99" s="40">
        <f>C99</f>
        <v>0</v>
      </c>
      <c r="C99" s="18">
        <f t="shared" si="7"/>
        <v>0</v>
      </c>
      <c r="D99" s="76">
        <f t="shared" si="6"/>
        <v>0</v>
      </c>
      <c r="E99" s="825" t="s">
        <v>220</v>
      </c>
      <c r="F99" s="793"/>
      <c r="G99" s="793"/>
      <c r="H99" s="793"/>
      <c r="I99" s="81" t="s">
        <v>278</v>
      </c>
      <c r="J99" s="34"/>
      <c r="K99" s="49">
        <v>0</v>
      </c>
    </row>
    <row r="100" spans="1:11" ht="16.5" customHeight="1">
      <c r="A100" s="25"/>
      <c r="B100" s="40">
        <f aca="true" t="shared" si="8" ref="B100:B110">C100</f>
        <v>71669.25</v>
      </c>
      <c r="C100" s="18">
        <f t="shared" si="7"/>
        <v>71669.25</v>
      </c>
      <c r="D100" s="76">
        <f t="shared" si="6"/>
        <v>71669.25</v>
      </c>
      <c r="E100" s="825" t="s">
        <v>214</v>
      </c>
      <c r="F100" s="793"/>
      <c r="G100" s="793"/>
      <c r="H100" s="793"/>
      <c r="I100" s="81" t="s">
        <v>279</v>
      </c>
      <c r="J100" s="34">
        <f>'ใบผ่านรายการ  2'!E7</f>
        <v>0</v>
      </c>
      <c r="K100" s="49">
        <f>15926.5+7963.25+23889.75+15926.5+7963.25</f>
        <v>71669.25</v>
      </c>
    </row>
    <row r="101" spans="1:11" ht="24" customHeight="1" hidden="1">
      <c r="A101" s="25"/>
      <c r="B101" s="40">
        <f t="shared" si="8"/>
        <v>0</v>
      </c>
      <c r="C101" s="18">
        <f t="shared" si="7"/>
        <v>0</v>
      </c>
      <c r="D101" s="76">
        <f t="shared" si="6"/>
        <v>0</v>
      </c>
      <c r="E101" s="825" t="s">
        <v>280</v>
      </c>
      <c r="F101" s="793"/>
      <c r="G101" s="793"/>
      <c r="H101" s="793"/>
      <c r="I101" s="81" t="s">
        <v>281</v>
      </c>
      <c r="J101" s="34">
        <v>0</v>
      </c>
      <c r="K101" s="49">
        <v>0</v>
      </c>
    </row>
    <row r="102" spans="1:11" ht="16.5" customHeight="1">
      <c r="A102" s="25"/>
      <c r="B102" s="40">
        <f>C102</f>
        <v>183500</v>
      </c>
      <c r="C102" s="18">
        <f>D102</f>
        <v>183500</v>
      </c>
      <c r="D102" s="76">
        <f>J102+K102</f>
        <v>183500</v>
      </c>
      <c r="E102" s="825" t="s">
        <v>619</v>
      </c>
      <c r="F102" s="793"/>
      <c r="G102" s="793"/>
      <c r="H102" s="793"/>
      <c r="I102" s="81" t="s">
        <v>279</v>
      </c>
      <c r="J102" s="34">
        <v>14500</v>
      </c>
      <c r="K102" s="49">
        <f>35000+17500+17500+17500+17500+17500+17500+14500+14500</f>
        <v>169000</v>
      </c>
    </row>
    <row r="103" spans="1:11" ht="16.5" customHeight="1">
      <c r="A103" s="25"/>
      <c r="B103" s="40">
        <f t="shared" si="8"/>
        <v>0</v>
      </c>
      <c r="C103" s="18">
        <f t="shared" si="7"/>
        <v>0</v>
      </c>
      <c r="D103" s="76">
        <f t="shared" si="6"/>
        <v>0</v>
      </c>
      <c r="E103" s="825" t="s">
        <v>333</v>
      </c>
      <c r="F103" s="793"/>
      <c r="G103" s="793"/>
      <c r="H103" s="793"/>
      <c r="I103" s="81" t="s">
        <v>281</v>
      </c>
      <c r="J103" s="34">
        <v>0</v>
      </c>
      <c r="K103" s="49">
        <v>0</v>
      </c>
    </row>
    <row r="104" spans="1:13" ht="16.5" customHeight="1">
      <c r="A104" s="25"/>
      <c r="B104" s="40">
        <f t="shared" si="8"/>
        <v>0</v>
      </c>
      <c r="C104" s="18">
        <f t="shared" si="7"/>
        <v>0</v>
      </c>
      <c r="D104" s="76">
        <f t="shared" si="6"/>
        <v>0</v>
      </c>
      <c r="E104" s="825" t="s">
        <v>219</v>
      </c>
      <c r="F104" s="793"/>
      <c r="G104" s="793"/>
      <c r="H104" s="793"/>
      <c r="I104" s="81" t="s">
        <v>281</v>
      </c>
      <c r="J104" s="34">
        <v>0</v>
      </c>
      <c r="K104" s="49">
        <v>0</v>
      </c>
      <c r="L104" s="412">
        <f>SUM(J99:J108)</f>
        <v>14500</v>
      </c>
      <c r="M104" s="412">
        <f>SUM(K99:K107)</f>
        <v>246739.25</v>
      </c>
    </row>
    <row r="105" spans="1:13" ht="16.5" customHeight="1">
      <c r="A105" s="25"/>
      <c r="B105" s="40">
        <f t="shared" si="8"/>
        <v>6070</v>
      </c>
      <c r="C105" s="18">
        <f t="shared" si="7"/>
        <v>6070</v>
      </c>
      <c r="D105" s="76">
        <f t="shared" si="6"/>
        <v>6070</v>
      </c>
      <c r="E105" s="825" t="s">
        <v>308</v>
      </c>
      <c r="F105" s="793"/>
      <c r="G105" s="793"/>
      <c r="H105" s="793"/>
      <c r="I105" s="81" t="s">
        <v>281</v>
      </c>
      <c r="J105" s="34">
        <v>0</v>
      </c>
      <c r="K105" s="49">
        <f>3300+900+1870</f>
        <v>6070</v>
      </c>
      <c r="M105" s="412"/>
    </row>
    <row r="106" spans="1:13" ht="16.5" customHeight="1" hidden="1">
      <c r="A106" s="25"/>
      <c r="B106" s="40">
        <f t="shared" si="8"/>
        <v>0</v>
      </c>
      <c r="C106" s="18">
        <f t="shared" si="7"/>
        <v>0</v>
      </c>
      <c r="D106" s="76">
        <f t="shared" si="6"/>
        <v>0</v>
      </c>
      <c r="E106" s="822" t="s">
        <v>322</v>
      </c>
      <c r="F106" s="823"/>
      <c r="G106" s="823"/>
      <c r="H106" s="824"/>
      <c r="I106" s="81" t="s">
        <v>282</v>
      </c>
      <c r="J106" s="34"/>
      <c r="K106" s="49">
        <v>0</v>
      </c>
      <c r="M106" s="412"/>
    </row>
    <row r="107" spans="1:13" ht="16.5" customHeight="1" hidden="1">
      <c r="A107" s="25"/>
      <c r="B107" s="40">
        <f t="shared" si="8"/>
        <v>0</v>
      </c>
      <c r="C107" s="18">
        <f t="shared" si="7"/>
        <v>0</v>
      </c>
      <c r="D107" s="76">
        <f t="shared" si="6"/>
        <v>0</v>
      </c>
      <c r="E107" s="822" t="s">
        <v>387</v>
      </c>
      <c r="F107" s="823"/>
      <c r="G107" s="823"/>
      <c r="H107" s="824"/>
      <c r="I107" s="81" t="s">
        <v>281</v>
      </c>
      <c r="J107" s="34"/>
      <c r="K107" s="49">
        <v>0</v>
      </c>
      <c r="M107" s="412"/>
    </row>
    <row r="108" spans="1:11" ht="16.5" customHeight="1" hidden="1">
      <c r="A108" s="25"/>
      <c r="B108" s="40">
        <f t="shared" si="8"/>
        <v>0</v>
      </c>
      <c r="C108" s="18">
        <f t="shared" si="7"/>
        <v>0</v>
      </c>
      <c r="D108" s="76">
        <f t="shared" si="6"/>
        <v>0</v>
      </c>
      <c r="E108" s="822" t="s">
        <v>388</v>
      </c>
      <c r="F108" s="823"/>
      <c r="G108" s="823"/>
      <c r="H108" s="824"/>
      <c r="I108" s="81" t="s">
        <v>257</v>
      </c>
      <c r="J108" s="34"/>
      <c r="K108" s="49">
        <v>0</v>
      </c>
    </row>
    <row r="109" spans="1:11" ht="16.5" customHeight="1" hidden="1">
      <c r="A109" s="25"/>
      <c r="B109" s="40">
        <f t="shared" si="8"/>
        <v>0</v>
      </c>
      <c r="C109" s="18">
        <f t="shared" si="7"/>
        <v>0</v>
      </c>
      <c r="D109" s="76">
        <f t="shared" si="6"/>
        <v>0</v>
      </c>
      <c r="E109" s="822" t="s">
        <v>407</v>
      </c>
      <c r="F109" s="823"/>
      <c r="G109" s="823"/>
      <c r="H109" s="824"/>
      <c r="I109" s="81" t="s">
        <v>257</v>
      </c>
      <c r="J109" s="34"/>
      <c r="K109" s="49">
        <v>0</v>
      </c>
    </row>
    <row r="110" spans="1:11" ht="17.25" hidden="1">
      <c r="A110" s="25"/>
      <c r="B110" s="40">
        <f t="shared" si="8"/>
        <v>0</v>
      </c>
      <c r="C110" s="18">
        <f t="shared" si="7"/>
        <v>0</v>
      </c>
      <c r="D110" s="76">
        <f t="shared" si="6"/>
        <v>0</v>
      </c>
      <c r="E110" s="30" t="s">
        <v>368</v>
      </c>
      <c r="F110" s="30"/>
      <c r="G110" s="30"/>
      <c r="H110" s="30"/>
      <c r="I110" s="81" t="s">
        <v>257</v>
      </c>
      <c r="J110" s="34">
        <v>0</v>
      </c>
      <c r="K110" s="49">
        <v>0</v>
      </c>
    </row>
    <row r="111" spans="1:11" ht="17.25" hidden="1">
      <c r="A111" s="25"/>
      <c r="B111" s="40"/>
      <c r="C111" s="40"/>
      <c r="D111" s="76">
        <f t="shared" si="6"/>
        <v>0</v>
      </c>
      <c r="E111" s="126" t="s">
        <v>306</v>
      </c>
      <c r="F111" s="30"/>
      <c r="G111" s="30"/>
      <c r="H111" s="30"/>
      <c r="I111" s="81" t="s">
        <v>257</v>
      </c>
      <c r="J111" s="34">
        <v>0</v>
      </c>
      <c r="K111" s="31">
        <v>0</v>
      </c>
    </row>
    <row r="112" spans="1:11" ht="17.25" hidden="1">
      <c r="A112" s="25"/>
      <c r="B112" s="40"/>
      <c r="C112" s="40"/>
      <c r="D112" s="76">
        <f t="shared" si="6"/>
        <v>0</v>
      </c>
      <c r="E112" s="30" t="s">
        <v>307</v>
      </c>
      <c r="F112" s="30"/>
      <c r="G112" s="30"/>
      <c r="H112" s="30"/>
      <c r="I112" s="81" t="s">
        <v>257</v>
      </c>
      <c r="J112" s="34">
        <v>0</v>
      </c>
      <c r="K112" s="31">
        <v>0</v>
      </c>
    </row>
    <row r="113" spans="1:11" ht="17.25">
      <c r="A113" s="71">
        <f>SUM(A76:A110)</f>
        <v>50277093</v>
      </c>
      <c r="B113" s="71">
        <f>SUM(B76:B110)</f>
        <v>261239.25</v>
      </c>
      <c r="C113" s="71">
        <f>SUM(C76:C110)</f>
        <v>50538332.25</v>
      </c>
      <c r="D113" s="77">
        <f>SUM(D76:D112)</f>
        <v>41629250.660000004</v>
      </c>
      <c r="E113" s="66"/>
      <c r="F113" s="831" t="s">
        <v>69</v>
      </c>
      <c r="G113" s="831"/>
      <c r="H113" s="67"/>
      <c r="I113" s="131"/>
      <c r="J113" s="77">
        <f>SUM(J76:J112)</f>
        <v>4979379.65</v>
      </c>
      <c r="K113" s="41">
        <f>SUM(K76:K112)</f>
        <v>36649871.010000005</v>
      </c>
    </row>
    <row r="114" spans="1:11" ht="16.5" customHeight="1" thickBot="1">
      <c r="A114" s="72"/>
      <c r="B114" s="73"/>
      <c r="C114" s="73"/>
      <c r="D114" s="68">
        <f>D67-D113</f>
        <v>3753475.7699999884</v>
      </c>
      <c r="E114" s="62"/>
      <c r="F114" s="832" t="s">
        <v>274</v>
      </c>
      <c r="G114" s="832"/>
      <c r="H114" s="51"/>
      <c r="I114" s="63"/>
      <c r="J114" s="68">
        <f>J67-J113</f>
        <v>-2622490.440000001</v>
      </c>
      <c r="K114" s="64">
        <f>SUM(K67-K113)</f>
        <v>6375966.209999993</v>
      </c>
    </row>
    <row r="115" spans="1:11" ht="16.5" customHeight="1" thickTop="1">
      <c r="A115" s="39"/>
      <c r="B115" s="38"/>
      <c r="C115" s="38" t="s">
        <v>34</v>
      </c>
      <c r="D115" s="18"/>
      <c r="E115" s="53" t="s">
        <v>88</v>
      </c>
      <c r="F115" s="51"/>
      <c r="G115" s="51"/>
      <c r="H115" s="51"/>
      <c r="I115" s="53" t="s">
        <v>67</v>
      </c>
      <c r="J115" s="18"/>
      <c r="K115" s="834"/>
    </row>
    <row r="116" spans="1:11" ht="16.5" customHeight="1">
      <c r="A116" s="11" t="s">
        <v>599</v>
      </c>
      <c r="B116" s="38"/>
      <c r="C116" s="38"/>
      <c r="D116" s="18"/>
      <c r="E116" s="78"/>
      <c r="F116" s="832" t="s">
        <v>275</v>
      </c>
      <c r="G116" s="832"/>
      <c r="H116" s="51"/>
      <c r="I116" s="63"/>
      <c r="J116" s="18"/>
      <c r="K116" s="835"/>
    </row>
    <row r="117" spans="1:11" ht="18" thickBot="1">
      <c r="A117" s="11" t="s">
        <v>600</v>
      </c>
      <c r="D117" s="42">
        <f>D9+D114</f>
        <v>35518902.62999999</v>
      </c>
      <c r="E117" s="78"/>
      <c r="F117" s="830" t="s">
        <v>277</v>
      </c>
      <c r="G117" s="830"/>
      <c r="H117" s="830"/>
      <c r="I117" s="63"/>
      <c r="J117" s="42">
        <f>J9+J114</f>
        <v>35518902.63</v>
      </c>
      <c r="K117" s="54"/>
    </row>
    <row r="118" spans="1:10" ht="18" hidden="1" thickTop="1">
      <c r="A118" s="39"/>
      <c r="B118" s="38"/>
      <c r="C118" s="38"/>
      <c r="D118" s="55">
        <f>J118</f>
        <v>35518902.63</v>
      </c>
      <c r="E118" s="53"/>
      <c r="F118" s="53"/>
      <c r="G118" s="53"/>
      <c r="H118" s="53"/>
      <c r="I118" s="53"/>
      <c r="J118" s="56">
        <f>'งบทดลอง '!E8</f>
        <v>35518902.63</v>
      </c>
    </row>
    <row r="119" spans="4:11" ht="17.25" hidden="1">
      <c r="D119" s="57">
        <f>D118-D117</f>
        <v>0</v>
      </c>
      <c r="G119" s="11" t="s">
        <v>155</v>
      </c>
      <c r="J119" s="58">
        <f>J118-J117</f>
        <v>0</v>
      </c>
      <c r="K119" s="4">
        <f>'งบทดลอง '!E8</f>
        <v>35518902.63</v>
      </c>
    </row>
    <row r="120" spans="7:11" ht="17.25" hidden="1">
      <c r="G120" s="12"/>
      <c r="J120" s="59">
        <f>J117-D117</f>
        <v>0</v>
      </c>
      <c r="K120" s="4">
        <f>J119+K119</f>
        <v>35518902.63</v>
      </c>
    </row>
    <row r="121" spans="7:10" ht="17.25" hidden="1">
      <c r="G121" s="12"/>
      <c r="J121" s="59"/>
    </row>
    <row r="122" spans="7:10" ht="17.25" hidden="1">
      <c r="G122" s="12"/>
      <c r="J122" s="59"/>
    </row>
    <row r="123" spans="7:10" ht="17.25" hidden="1">
      <c r="G123" s="12"/>
      <c r="J123" s="59"/>
    </row>
    <row r="124" spans="7:10" ht="17.25" hidden="1">
      <c r="G124" s="12"/>
      <c r="J124" s="59"/>
    </row>
    <row r="125" spans="7:10" ht="17.25" hidden="1">
      <c r="G125" s="12"/>
      <c r="J125" s="59"/>
    </row>
    <row r="126" spans="7:10" ht="17.25" hidden="1">
      <c r="G126" s="12"/>
      <c r="J126" s="59"/>
    </row>
    <row r="127" spans="7:10" ht="18" thickTop="1">
      <c r="G127" s="12"/>
      <c r="J127" s="59"/>
    </row>
    <row r="128" spans="1:10" ht="17.25">
      <c r="A128" s="829" t="s">
        <v>398</v>
      </c>
      <c r="B128" s="829"/>
      <c r="C128" s="829"/>
      <c r="D128" s="829" t="s">
        <v>695</v>
      </c>
      <c r="E128" s="829"/>
      <c r="F128" s="829"/>
      <c r="G128" s="826" t="s">
        <v>398</v>
      </c>
      <c r="H128" s="826"/>
      <c r="I128" s="826"/>
      <c r="J128" s="826"/>
    </row>
    <row r="129" spans="1:10" ht="15.75" customHeight="1">
      <c r="A129" s="829" t="s">
        <v>703</v>
      </c>
      <c r="B129" s="829"/>
      <c r="C129" s="829"/>
      <c r="D129" s="829" t="s">
        <v>696</v>
      </c>
      <c r="E129" s="829"/>
      <c r="F129" s="829"/>
      <c r="G129" s="826" t="s">
        <v>397</v>
      </c>
      <c r="H129" s="826"/>
      <c r="I129" s="826"/>
      <c r="J129" s="826"/>
    </row>
    <row r="130" spans="1:12" ht="17.25" customHeight="1">
      <c r="A130" s="11" t="s">
        <v>713</v>
      </c>
      <c r="B130" s="11"/>
      <c r="C130" s="11"/>
      <c r="D130" s="829" t="s">
        <v>697</v>
      </c>
      <c r="E130" s="829"/>
      <c r="F130" s="829"/>
      <c r="G130" s="826" t="s">
        <v>396</v>
      </c>
      <c r="H130" s="826"/>
      <c r="I130" s="826"/>
      <c r="J130" s="826"/>
      <c r="K130" s="528"/>
      <c r="L130" s="528"/>
    </row>
    <row r="131" spans="1:12" ht="17.25" customHeight="1">
      <c r="A131" s="829"/>
      <c r="B131" s="829"/>
      <c r="C131" s="829"/>
      <c r="D131" s="829"/>
      <c r="E131" s="829"/>
      <c r="F131" s="829"/>
      <c r="G131" s="829"/>
      <c r="H131" s="829"/>
      <c r="I131" s="829"/>
      <c r="J131" s="829"/>
      <c r="K131" s="528"/>
      <c r="L131" s="528"/>
    </row>
    <row r="132" spans="2:11" ht="20.25" customHeight="1">
      <c r="B132" s="11"/>
      <c r="C132" s="11"/>
      <c r="D132" s="11"/>
      <c r="F132" s="833"/>
      <c r="G132" s="833"/>
      <c r="H132" s="833"/>
      <c r="I132" s="829"/>
      <c r="J132" s="829"/>
      <c r="K132" s="5"/>
    </row>
    <row r="133" spans="1:11" ht="19.5" customHeight="1">
      <c r="A133" s="829"/>
      <c r="B133" s="829"/>
      <c r="C133" s="829"/>
      <c r="D133" s="829"/>
      <c r="F133" s="833"/>
      <c r="G133" s="833"/>
      <c r="H133" s="833"/>
      <c r="I133" s="833"/>
      <c r="J133" s="833"/>
      <c r="K133" s="6"/>
    </row>
    <row r="134" spans="9:11" ht="19.5" customHeight="1">
      <c r="I134" s="848"/>
      <c r="J134" s="848"/>
      <c r="K134" s="7"/>
    </row>
    <row r="135" ht="19.5" customHeight="1">
      <c r="K135" s="7"/>
    </row>
    <row r="136" spans="9:10" ht="17.25">
      <c r="I136" s="528"/>
      <c r="J136" s="528"/>
    </row>
    <row r="137" spans="9:10" ht="17.25">
      <c r="I137" s="528"/>
      <c r="J137" s="528"/>
    </row>
    <row r="138" spans="9:10" ht="17.25">
      <c r="I138" s="829"/>
      <c r="J138" s="829"/>
    </row>
    <row r="139" spans="10:11" ht="17.25">
      <c r="J139" s="4"/>
      <c r="K139" s="411"/>
    </row>
  </sheetData>
  <sheetProtection/>
  <mergeCells count="70">
    <mergeCell ref="D128:F128"/>
    <mergeCell ref="E104:H104"/>
    <mergeCell ref="E101:H101"/>
    <mergeCell ref="E50:H50"/>
    <mergeCell ref="I138:J138"/>
    <mergeCell ref="F132:H132"/>
    <mergeCell ref="I134:J134"/>
    <mergeCell ref="E93:H93"/>
    <mergeCell ref="E106:H106"/>
    <mergeCell ref="D129:F129"/>
    <mergeCell ref="D131:F131"/>
    <mergeCell ref="G130:J130"/>
    <mergeCell ref="A71:D71"/>
    <mergeCell ref="E45:H45"/>
    <mergeCell ref="I5:I8"/>
    <mergeCell ref="E46:H46"/>
    <mergeCell ref="E47:H47"/>
    <mergeCell ref="E40:H40"/>
    <mergeCell ref="E67:H67"/>
    <mergeCell ref="A70:J70"/>
    <mergeCell ref="A3:J3"/>
    <mergeCell ref="I71:I74"/>
    <mergeCell ref="E35:H35"/>
    <mergeCell ref="E36:H36"/>
    <mergeCell ref="E37:H37"/>
    <mergeCell ref="A1:J1"/>
    <mergeCell ref="A5:D5"/>
    <mergeCell ref="E5:H8"/>
    <mergeCell ref="A2:J2"/>
    <mergeCell ref="A4:J4"/>
    <mergeCell ref="A133:D133"/>
    <mergeCell ref="F133:H133"/>
    <mergeCell ref="I133:J133"/>
    <mergeCell ref="G131:J131"/>
    <mergeCell ref="A128:C128"/>
    <mergeCell ref="K115:K116"/>
    <mergeCell ref="F116:G116"/>
    <mergeCell ref="G129:J129"/>
    <mergeCell ref="A131:C131"/>
    <mergeCell ref="D130:F130"/>
    <mergeCell ref="A129:C129"/>
    <mergeCell ref="E108:H108"/>
    <mergeCell ref="E109:H109"/>
    <mergeCell ref="E48:H48"/>
    <mergeCell ref="E49:H49"/>
    <mergeCell ref="I132:J132"/>
    <mergeCell ref="F117:H117"/>
    <mergeCell ref="F113:G113"/>
    <mergeCell ref="F114:G114"/>
    <mergeCell ref="E102:H102"/>
    <mergeCell ref="E39:H39"/>
    <mergeCell ref="E38:H38"/>
    <mergeCell ref="E107:H107"/>
    <mergeCell ref="E103:H103"/>
    <mergeCell ref="E34:H34"/>
    <mergeCell ref="G128:J128"/>
    <mergeCell ref="E99:H99"/>
    <mergeCell ref="E105:H105"/>
    <mergeCell ref="E89:H89"/>
    <mergeCell ref="E100:H100"/>
    <mergeCell ref="E51:H51"/>
    <mergeCell ref="E52:H52"/>
    <mergeCell ref="K71:K74"/>
    <mergeCell ref="E25:H25"/>
    <mergeCell ref="E29:H29"/>
    <mergeCell ref="E30:H30"/>
    <mergeCell ref="E32:H32"/>
    <mergeCell ref="E31:H31"/>
    <mergeCell ref="E33:H33"/>
    <mergeCell ref="E71:H74"/>
  </mergeCells>
  <printOptions/>
  <pageMargins left="0.35433070866141736" right="0.35433070866141736" top="0.2755905511811024" bottom="0.15748031496062992" header="0.2755905511811024" footer="0.1574803149606299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29">
      <selection activeCell="C32" sqref="C32"/>
    </sheetView>
  </sheetViews>
  <sheetFormatPr defaultColWidth="9.140625" defaultRowHeight="21.75"/>
  <cols>
    <col min="1" max="1" width="9.57421875" style="434" customWidth="1"/>
    <col min="2" max="2" width="46.7109375" style="434" customWidth="1"/>
    <col min="3" max="4" width="20.57421875" style="434" customWidth="1"/>
    <col min="5" max="5" width="18.28125" style="414" customWidth="1"/>
    <col min="6" max="16384" width="9.140625" style="415" customWidth="1"/>
  </cols>
  <sheetData>
    <row r="1" spans="1:4" ht="19.5" customHeight="1">
      <c r="A1" s="744" t="s">
        <v>15</v>
      </c>
      <c r="B1" s="744"/>
      <c r="C1" s="744"/>
      <c r="D1" s="744"/>
    </row>
    <row r="2" spans="1:4" ht="19.5" customHeight="1">
      <c r="A2" s="744" t="s">
        <v>56</v>
      </c>
      <c r="B2" s="744"/>
      <c r="C2" s="744"/>
      <c r="D2" s="744"/>
    </row>
    <row r="3" spans="1:5" ht="19.5" customHeight="1">
      <c r="A3" s="807" t="s">
        <v>772</v>
      </c>
      <c r="B3" s="807"/>
      <c r="C3" s="807"/>
      <c r="D3" s="807"/>
      <c r="E3" s="416"/>
    </row>
    <row r="4" spans="1:5" ht="19.5" customHeight="1">
      <c r="A4" s="417"/>
      <c r="B4" s="418" t="s">
        <v>52</v>
      </c>
      <c r="C4" s="419" t="s">
        <v>27</v>
      </c>
      <c r="D4" s="419" t="s">
        <v>57</v>
      </c>
      <c r="E4" s="420" t="s">
        <v>181</v>
      </c>
    </row>
    <row r="5" spans="1:5" ht="19.5" customHeight="1">
      <c r="A5" s="421" t="s">
        <v>88</v>
      </c>
      <c r="B5" s="1"/>
      <c r="C5" s="405"/>
      <c r="D5" s="693"/>
      <c r="E5" s="690"/>
    </row>
    <row r="6" spans="1:5" ht="19.5" customHeight="1">
      <c r="A6" s="422"/>
      <c r="B6" s="1" t="s">
        <v>58</v>
      </c>
      <c r="C6" s="423">
        <f>ใบผ่านรายการ3!E6</f>
        <v>2245709.83</v>
      </c>
      <c r="D6" s="694">
        <f>E6+C6</f>
        <v>30149591.089999996</v>
      </c>
      <c r="E6" s="691">
        <f>38097.5+3107262.02+1878758.3+1424092.37+630705.88+3290324.51+6681397.93+2472490.86+3463171.18+4917580.71</f>
        <v>27903881.259999998</v>
      </c>
    </row>
    <row r="7" spans="1:5" ht="19.5" customHeight="1">
      <c r="A7" s="422"/>
      <c r="B7" s="1" t="s">
        <v>59</v>
      </c>
      <c r="C7" s="423">
        <f>'รับ-จ่าย  (2)'!J57</f>
        <v>81679.38</v>
      </c>
      <c r="D7" s="694">
        <f aca="true" t="shared" si="0" ref="D7:D31">E7+C7</f>
        <v>845496.8</v>
      </c>
      <c r="E7" s="691">
        <f>33090.4+119115.91+184749.75+34234.73+25449.93+197545.75+25449.93+21407.47+35547.85+62671.16+24554.54</f>
        <v>763817.42</v>
      </c>
    </row>
    <row r="8" spans="1:5" ht="19.5" customHeight="1">
      <c r="A8" s="422"/>
      <c r="B8" s="1" t="s">
        <v>104</v>
      </c>
      <c r="C8" s="423">
        <v>0</v>
      </c>
      <c r="D8" s="694">
        <f t="shared" si="0"/>
        <v>96000</v>
      </c>
      <c r="E8" s="691">
        <v>96000</v>
      </c>
    </row>
    <row r="9" spans="1:5" ht="19.5" customHeight="1">
      <c r="A9" s="422"/>
      <c r="B9" s="1" t="s">
        <v>249</v>
      </c>
      <c r="C9" s="423">
        <f>'รับ-จ่าย  (2)'!J20</f>
        <v>0</v>
      </c>
      <c r="D9" s="694">
        <f t="shared" si="0"/>
        <v>0</v>
      </c>
      <c r="E9" s="691">
        <v>0</v>
      </c>
    </row>
    <row r="10" spans="1:5" ht="19.5" customHeight="1">
      <c r="A10" s="422"/>
      <c r="B10" s="1" t="s">
        <v>324</v>
      </c>
      <c r="C10" s="423">
        <f>'รับ-จ่าย  (2)'!J21</f>
        <v>0</v>
      </c>
      <c r="D10" s="694">
        <f t="shared" si="0"/>
        <v>0</v>
      </c>
      <c r="E10" s="691">
        <v>0</v>
      </c>
    </row>
    <row r="11" spans="1:5" ht="19.5" customHeight="1">
      <c r="A11" s="422"/>
      <c r="B11" s="1" t="s">
        <v>223</v>
      </c>
      <c r="C11" s="423">
        <v>0</v>
      </c>
      <c r="D11" s="694">
        <f t="shared" si="0"/>
        <v>14502075.75</v>
      </c>
      <c r="E11" s="691">
        <f>7887731+93889.75+6415455+52500+52500</f>
        <v>14502075.75</v>
      </c>
    </row>
    <row r="12" spans="1:5" ht="19.5" customHeight="1">
      <c r="A12" s="422"/>
      <c r="B12" s="1" t="s">
        <v>112</v>
      </c>
      <c r="C12" s="423"/>
      <c r="D12" s="694">
        <f t="shared" si="0"/>
        <v>0</v>
      </c>
      <c r="E12" s="691">
        <v>0</v>
      </c>
    </row>
    <row r="13" spans="1:5" ht="19.5" customHeight="1">
      <c r="A13" s="422"/>
      <c r="B13" s="1" t="s">
        <v>60</v>
      </c>
      <c r="C13" s="423">
        <v>0</v>
      </c>
      <c r="D13" s="694">
        <v>0</v>
      </c>
      <c r="E13" s="691">
        <v>15222</v>
      </c>
    </row>
    <row r="14" spans="1:5" ht="19.5" customHeight="1">
      <c r="A14" s="422"/>
      <c r="B14" s="1" t="s">
        <v>61</v>
      </c>
      <c r="C14" s="423">
        <f>'รับ-จ่าย  (2)'!J23</f>
        <v>0</v>
      </c>
      <c r="D14" s="694">
        <f t="shared" si="0"/>
        <v>0</v>
      </c>
      <c r="E14" s="691"/>
    </row>
    <row r="15" spans="1:5" ht="19.5" customHeight="1">
      <c r="A15" s="422"/>
      <c r="B15" s="1" t="s">
        <v>147</v>
      </c>
      <c r="C15" s="423">
        <f>'[1]รับ-จ่าย'!I62</f>
        <v>0</v>
      </c>
      <c r="D15" s="694">
        <f t="shared" si="0"/>
        <v>0</v>
      </c>
      <c r="E15" s="691"/>
    </row>
    <row r="16" spans="1:5" ht="19.5" customHeight="1">
      <c r="A16" s="422"/>
      <c r="B16" s="1" t="s">
        <v>180</v>
      </c>
      <c r="C16" s="423"/>
      <c r="D16" s="694">
        <f t="shared" si="0"/>
        <v>0</v>
      </c>
      <c r="E16" s="691"/>
    </row>
    <row r="17" spans="1:5" ht="19.5" customHeight="1">
      <c r="A17" s="422"/>
      <c r="B17" s="1" t="s">
        <v>93</v>
      </c>
      <c r="C17" s="423">
        <f>'รับ-จ่าย  (2)'!J19</f>
        <v>0</v>
      </c>
      <c r="D17" s="694">
        <f t="shared" si="0"/>
        <v>0</v>
      </c>
      <c r="E17" s="691">
        <v>0</v>
      </c>
    </row>
    <row r="18" spans="1:5" ht="19.5" customHeight="1">
      <c r="A18" s="422"/>
      <c r="B18" s="1" t="s">
        <v>99</v>
      </c>
      <c r="C18" s="423">
        <f>'รับ-จ่าย  (2)'!J22</f>
        <v>0</v>
      </c>
      <c r="D18" s="694">
        <f t="shared" si="0"/>
        <v>0</v>
      </c>
      <c r="E18" s="691">
        <v>0</v>
      </c>
    </row>
    <row r="19" spans="1:5" ht="19.5" customHeight="1">
      <c r="A19" s="422"/>
      <c r="B19" s="1" t="s">
        <v>358</v>
      </c>
      <c r="C19" s="423">
        <v>0</v>
      </c>
      <c r="D19" s="694">
        <f t="shared" si="0"/>
        <v>0</v>
      </c>
      <c r="E19" s="691"/>
    </row>
    <row r="20" spans="1:5" ht="19.5" customHeight="1">
      <c r="A20" s="422"/>
      <c r="B20" s="1" t="s">
        <v>140</v>
      </c>
      <c r="C20" s="423">
        <f>'รับ-จ่าย  (2)'!J59</f>
        <v>0</v>
      </c>
      <c r="D20" s="694">
        <f t="shared" si="0"/>
        <v>7400</v>
      </c>
      <c r="E20" s="691">
        <f>600+1900+1900+800+800+1400</f>
        <v>7400</v>
      </c>
    </row>
    <row r="21" spans="1:5" ht="19.5" customHeight="1">
      <c r="A21" s="422"/>
      <c r="B21" s="1" t="s">
        <v>92</v>
      </c>
      <c r="C21" s="423">
        <f>'รับ-จ่าย  (2)'!J60</f>
        <v>0</v>
      </c>
      <c r="D21" s="694">
        <f t="shared" si="0"/>
        <v>0</v>
      </c>
      <c r="E21" s="691">
        <v>0</v>
      </c>
    </row>
    <row r="22" spans="1:5" ht="19.5" customHeight="1">
      <c r="A22" s="422"/>
      <c r="B22" s="1" t="s">
        <v>145</v>
      </c>
      <c r="C22" s="423">
        <f>'รับ-จ่าย  (2)'!J61</f>
        <v>0</v>
      </c>
      <c r="D22" s="694">
        <f t="shared" si="0"/>
        <v>0</v>
      </c>
      <c r="E22" s="691">
        <v>0</v>
      </c>
    </row>
    <row r="23" spans="1:5" ht="19.5" customHeight="1">
      <c r="A23" s="422"/>
      <c r="B23" s="1" t="s">
        <v>156</v>
      </c>
      <c r="C23" s="423">
        <f>'รับ-จ่าย  (2)'!J62</f>
        <v>0</v>
      </c>
      <c r="D23" s="694">
        <f t="shared" si="0"/>
        <v>20000</v>
      </c>
      <c r="E23" s="691">
        <f>500+19000+500</f>
        <v>20000</v>
      </c>
    </row>
    <row r="24" spans="1:5" ht="19.5" customHeight="1">
      <c r="A24" s="422"/>
      <c r="B24" s="1" t="s">
        <v>119</v>
      </c>
      <c r="C24" s="423"/>
      <c r="D24" s="694">
        <f t="shared" si="0"/>
        <v>0</v>
      </c>
      <c r="E24" s="691"/>
    </row>
    <row r="25" spans="1:5" ht="19.5" customHeight="1">
      <c r="A25" s="422"/>
      <c r="B25" s="1" t="s">
        <v>140</v>
      </c>
      <c r="C25" s="423">
        <f>'[1]รับ-จ่าย'!I27</f>
        <v>0</v>
      </c>
      <c r="D25" s="694">
        <f t="shared" si="0"/>
        <v>0</v>
      </c>
      <c r="E25" s="691"/>
    </row>
    <row r="26" spans="1:5" ht="19.5" customHeight="1">
      <c r="A26" s="422"/>
      <c r="B26" s="1" t="s">
        <v>160</v>
      </c>
      <c r="C26" s="423">
        <f>'รับ-จ่าย  (2)'!J64</f>
        <v>29500</v>
      </c>
      <c r="D26" s="694">
        <f t="shared" si="0"/>
        <v>51240</v>
      </c>
      <c r="E26" s="691">
        <f>7540+1000+7200+6000</f>
        <v>21740</v>
      </c>
    </row>
    <row r="27" spans="1:5" ht="19.5" customHeight="1">
      <c r="A27" s="422"/>
      <c r="B27" s="1" t="s">
        <v>227</v>
      </c>
      <c r="C27" s="423">
        <f>'รับ-จ่าย  (2)'!J63</f>
        <v>0</v>
      </c>
      <c r="D27" s="694">
        <f t="shared" si="0"/>
        <v>63.9</v>
      </c>
      <c r="E27" s="691">
        <v>63.9</v>
      </c>
    </row>
    <row r="28" spans="1:5" ht="19.5" customHeight="1">
      <c r="A28" s="422"/>
      <c r="B28" s="1" t="s">
        <v>135</v>
      </c>
      <c r="C28" s="423">
        <v>0</v>
      </c>
      <c r="D28" s="694">
        <f t="shared" si="0"/>
        <v>0</v>
      </c>
      <c r="E28" s="691"/>
    </row>
    <row r="29" spans="1:5" ht="19.5" customHeight="1">
      <c r="A29" s="422"/>
      <c r="B29" s="1" t="s">
        <v>172</v>
      </c>
      <c r="C29" s="423">
        <v>0</v>
      </c>
      <c r="D29" s="694">
        <v>0</v>
      </c>
      <c r="E29" s="691"/>
    </row>
    <row r="30" spans="1:5" ht="19.5" customHeight="1">
      <c r="A30" s="422"/>
      <c r="B30" s="1" t="s">
        <v>639</v>
      </c>
      <c r="C30" s="423">
        <f>'รับ-จ่าย  (2)'!J65</f>
        <v>0</v>
      </c>
      <c r="D30" s="694">
        <v>0</v>
      </c>
      <c r="E30" s="691">
        <v>26840</v>
      </c>
    </row>
    <row r="31" spans="1:5" ht="19.5" customHeight="1" thickBot="1">
      <c r="A31" s="422"/>
      <c r="B31" s="1" t="s">
        <v>118</v>
      </c>
      <c r="C31" s="423">
        <f>'รับ-จ่าย  (2)'!J56</f>
        <v>0</v>
      </c>
      <c r="D31" s="694">
        <f t="shared" si="0"/>
        <v>0</v>
      </c>
      <c r="E31" s="691">
        <v>0</v>
      </c>
    </row>
    <row r="32" spans="1:5" ht="19.5" customHeight="1" thickBot="1" thickTop="1">
      <c r="A32" s="422"/>
      <c r="B32" s="425" t="s">
        <v>49</v>
      </c>
      <c r="C32" s="689">
        <f>SUM(C6:C31)</f>
        <v>2356889.21</v>
      </c>
      <c r="D32" s="695">
        <f>SUM(D6:D31)</f>
        <v>45671867.54</v>
      </c>
      <c r="E32" s="692">
        <f>SUM(E6:E31)</f>
        <v>43357040.33</v>
      </c>
    </row>
    <row r="33" spans="1:5" ht="19.5" customHeight="1" thickTop="1">
      <c r="A33" s="421" t="s">
        <v>67</v>
      </c>
      <c r="B33" s="1" t="s">
        <v>83</v>
      </c>
      <c r="C33" s="423">
        <f>'รับ-จ่าย  (2)'!L82</f>
        <v>3792627.15</v>
      </c>
      <c r="D33" s="428">
        <f aca="true" t="shared" si="1" ref="D33:D48">E33+C33</f>
        <v>29732325.52</v>
      </c>
      <c r="E33" s="429">
        <f>1678934.91+3709295.57+2242679.82+2242679.82+2242679.82+2876381.5+2303050.92+3732296.44+2439925.38+2471774.19</f>
        <v>25939698.37</v>
      </c>
    </row>
    <row r="34" spans="1:5" ht="19.5" customHeight="1">
      <c r="A34" s="422"/>
      <c r="B34" s="1" t="s">
        <v>111</v>
      </c>
      <c r="C34" s="423"/>
      <c r="D34" s="428">
        <f t="shared" si="1"/>
        <v>0</v>
      </c>
      <c r="E34" s="429">
        <v>0</v>
      </c>
    </row>
    <row r="35" spans="1:5" ht="19.5" customHeight="1">
      <c r="A35" s="422"/>
      <c r="B35" s="1" t="s">
        <v>84</v>
      </c>
      <c r="C35" s="423">
        <f>'รับ-จ่าย  (2)'!J97</f>
        <v>23052.5</v>
      </c>
      <c r="D35" s="428">
        <f t="shared" si="1"/>
        <v>857268.94</v>
      </c>
      <c r="E35" s="429">
        <f>25764.4+67674.4+164612.84+177408.84+177408.84+73259.98+23980.02+35582.49+64164.64+24359.99</f>
        <v>834216.44</v>
      </c>
    </row>
    <row r="36" spans="1:5" ht="19.5" customHeight="1">
      <c r="A36" s="422"/>
      <c r="B36" s="1" t="s">
        <v>105</v>
      </c>
      <c r="C36" s="423">
        <f>'รับ-จ่าย  (2)'!J110</f>
        <v>0</v>
      </c>
      <c r="D36" s="428">
        <f t="shared" si="1"/>
        <v>0</v>
      </c>
      <c r="E36" s="429">
        <v>0</v>
      </c>
    </row>
    <row r="37" spans="1:5" ht="19.5" customHeight="1">
      <c r="A37" s="422"/>
      <c r="B37" s="1" t="s">
        <v>222</v>
      </c>
      <c r="C37" s="423">
        <f>'รับ-จ่าย  (2)'!J102+'รับ-จ่าย  (2)'!J105+'รับ-จ่าย  (2)'!J100</f>
        <v>14500</v>
      </c>
      <c r="D37" s="428">
        <f t="shared" si="1"/>
        <v>216776</v>
      </c>
      <c r="E37" s="429">
        <f>15926.5+18400+18400+18400+17500+41389.75+33426.5+24333.25+14500</f>
        <v>202276</v>
      </c>
    </row>
    <row r="38" spans="1:5" ht="19.5" customHeight="1">
      <c r="A38" s="422"/>
      <c r="B38" s="434" t="s">
        <v>234</v>
      </c>
      <c r="C38" s="423">
        <v>0</v>
      </c>
      <c r="D38" s="428">
        <f t="shared" si="1"/>
        <v>0</v>
      </c>
      <c r="E38" s="429">
        <v>0</v>
      </c>
    </row>
    <row r="39" spans="1:5" ht="19.5" customHeight="1">
      <c r="A39" s="422"/>
      <c r="B39" s="1" t="s">
        <v>148</v>
      </c>
      <c r="C39" s="423">
        <v>0</v>
      </c>
      <c r="D39" s="428">
        <f t="shared" si="1"/>
        <v>0</v>
      </c>
      <c r="E39" s="429">
        <v>0</v>
      </c>
    </row>
    <row r="40" spans="1:5" ht="19.5" customHeight="1">
      <c r="A40" s="422"/>
      <c r="B40" s="1" t="s">
        <v>81</v>
      </c>
      <c r="C40" s="430">
        <f>'รับ-จ่าย  (2)'!J94</f>
        <v>0</v>
      </c>
      <c r="D40" s="428">
        <f t="shared" si="1"/>
        <v>1177598.39</v>
      </c>
      <c r="E40" s="429">
        <f>528103.24+500000+119995.15+29500</f>
        <v>1177598.39</v>
      </c>
    </row>
    <row r="41" spans="1:5" ht="19.5" customHeight="1">
      <c r="A41" s="422"/>
      <c r="B41" s="1" t="s">
        <v>95</v>
      </c>
      <c r="C41" s="430">
        <f>'[1]รับ-จ่าย'!I61</f>
        <v>0</v>
      </c>
      <c r="D41" s="428">
        <f t="shared" si="1"/>
        <v>0</v>
      </c>
      <c r="E41" s="429">
        <v>0</v>
      </c>
    </row>
    <row r="42" spans="1:5" ht="19.5" customHeight="1">
      <c r="A42" s="422"/>
      <c r="B42" s="1" t="s">
        <v>375</v>
      </c>
      <c r="C42" s="430">
        <f>'รับ-จ่าย  (2)'!J90</f>
        <v>0</v>
      </c>
      <c r="D42" s="428">
        <f t="shared" si="1"/>
        <v>0</v>
      </c>
      <c r="E42" s="429">
        <v>0</v>
      </c>
    </row>
    <row r="43" spans="1:5" ht="19.5" customHeight="1">
      <c r="A43" s="422"/>
      <c r="B43" s="1" t="s">
        <v>79</v>
      </c>
      <c r="C43" s="430">
        <f>'รับ-จ่าย  (2)'!J91</f>
        <v>558200</v>
      </c>
      <c r="D43" s="428">
        <f t="shared" si="1"/>
        <v>4536994.62</v>
      </c>
      <c r="E43" s="429">
        <f>468300+465600+497094.62+469900+492500+495500+617900+472000</f>
        <v>3978794.62</v>
      </c>
    </row>
    <row r="44" spans="1:5" ht="19.5" customHeight="1">
      <c r="A44" s="422"/>
      <c r="B44" s="159" t="s">
        <v>35</v>
      </c>
      <c r="C44" s="423">
        <f>'รับ-จ่าย  (2)'!J92</f>
        <v>0</v>
      </c>
      <c r="D44" s="428">
        <f t="shared" si="1"/>
        <v>0</v>
      </c>
      <c r="E44" s="429">
        <v>0</v>
      </c>
    </row>
    <row r="45" spans="1:5" ht="19.5" customHeight="1">
      <c r="A45" s="422"/>
      <c r="B45" s="1" t="s">
        <v>330</v>
      </c>
      <c r="C45" s="423">
        <f>'รับ-จ่าย  (2)'!J93</f>
        <v>0</v>
      </c>
      <c r="D45" s="428">
        <f t="shared" si="1"/>
        <v>0</v>
      </c>
      <c r="E45" s="429">
        <v>0</v>
      </c>
    </row>
    <row r="46" spans="1:5" ht="19.5" customHeight="1">
      <c r="A46" s="422"/>
      <c r="B46" s="1" t="s">
        <v>182</v>
      </c>
      <c r="C46" s="430">
        <f>'รับ-จ่าย  (2)'!J95</f>
        <v>591000</v>
      </c>
      <c r="D46" s="428">
        <f t="shared" si="1"/>
        <v>1865040.6</v>
      </c>
      <c r="E46" s="429">
        <f>790092.6+3948+480000</f>
        <v>1274040.6</v>
      </c>
    </row>
    <row r="47" spans="1:5" ht="19.5" customHeight="1">
      <c r="A47" s="422"/>
      <c r="B47" s="1" t="s">
        <v>106</v>
      </c>
      <c r="C47" s="423">
        <f>'รับ-จ่าย  (2)'!J96</f>
        <v>0</v>
      </c>
      <c r="D47" s="428">
        <f t="shared" si="1"/>
        <v>0</v>
      </c>
      <c r="E47" s="429">
        <v>0</v>
      </c>
    </row>
    <row r="48" spans="1:5" ht="19.5" customHeight="1" thickBot="1">
      <c r="A48" s="422"/>
      <c r="B48" s="1" t="s">
        <v>107</v>
      </c>
      <c r="C48" s="423">
        <v>0</v>
      </c>
      <c r="D48" s="428">
        <f t="shared" si="1"/>
        <v>0</v>
      </c>
      <c r="E48" s="424">
        <v>0</v>
      </c>
    </row>
    <row r="49" spans="1:5" ht="19.5" customHeight="1" thickBot="1">
      <c r="A49" s="422"/>
      <c r="B49" s="174" t="s">
        <v>50</v>
      </c>
      <c r="C49" s="426">
        <f>SUM(C33:C48)</f>
        <v>4979379.65</v>
      </c>
      <c r="D49" s="426">
        <f>SUM(D33:D48)</f>
        <v>38386004.07</v>
      </c>
      <c r="E49" s="427">
        <f>SUM(E33:E48)</f>
        <v>33406624.420000006</v>
      </c>
    </row>
    <row r="50" spans="1:5" ht="19.5" customHeight="1" thickBot="1">
      <c r="A50" s="417"/>
      <c r="B50" s="431" t="s">
        <v>85</v>
      </c>
      <c r="C50" s="432">
        <f>SUM(C32-C49)</f>
        <v>-2622490.4400000004</v>
      </c>
      <c r="D50" s="432">
        <f>SUM(D32-D49)</f>
        <v>7285863.469999999</v>
      </c>
      <c r="E50" s="433">
        <v>4467723.75</v>
      </c>
    </row>
    <row r="51" spans="2:4" ht="18.75" hidden="1" thickTop="1">
      <c r="B51" s="434" t="s">
        <v>167</v>
      </c>
      <c r="C51" s="435">
        <f>'รับ-จ่าย  (2)'!D114</f>
        <v>3753475.7699999884</v>
      </c>
      <c r="D51" s="436">
        <f>'รับ-จ่าย  (2)'!J114</f>
        <v>-2622490.440000001</v>
      </c>
    </row>
    <row r="52" spans="2:5" ht="18" hidden="1">
      <c r="B52" s="434" t="s">
        <v>168</v>
      </c>
      <c r="C52" s="435">
        <f>C50-C51</f>
        <v>-6375966.209999989</v>
      </c>
      <c r="D52" s="435">
        <f>D50-D51</f>
        <v>9908353.91</v>
      </c>
      <c r="E52" s="437"/>
    </row>
    <row r="53" ht="18.75" thickTop="1"/>
  </sheetData>
  <sheetProtection/>
  <mergeCells count="3">
    <mergeCell ref="A1:D1"/>
    <mergeCell ref="A2:D2"/>
    <mergeCell ref="A3:D3"/>
  </mergeCells>
  <printOptions/>
  <pageMargins left="0.6692913385826772" right="0.15748031496062992" top="0.31496062992125984" bottom="0.275590551181102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G24"/>
  <sheetViews>
    <sheetView zoomScale="110" zoomScaleNormal="110" zoomScalePageLayoutView="0" workbookViewId="0" topLeftCell="A9">
      <selection activeCell="I11" sqref="I11"/>
    </sheetView>
  </sheetViews>
  <sheetFormatPr defaultColWidth="9.140625" defaultRowHeight="21.75" customHeight="1"/>
  <cols>
    <col min="1" max="1" width="42.57421875" style="1" customWidth="1"/>
    <col min="2" max="2" width="10.57421875" style="1" customWidth="1"/>
    <col min="3" max="3" width="13.57421875" style="1" customWidth="1"/>
    <col min="4" max="4" width="13.7109375" style="1" customWidth="1"/>
    <col min="5" max="5" width="13.8515625" style="1" customWidth="1"/>
    <col min="6" max="6" width="13.57421875" style="1" customWidth="1"/>
    <col min="7" max="7" width="13.57421875" style="1" bestFit="1" customWidth="1"/>
    <col min="8" max="16384" width="9.140625" style="1" customWidth="1"/>
  </cols>
  <sheetData>
    <row r="1" spans="5:6" ht="21.75" customHeight="1">
      <c r="E1" s="746" t="s">
        <v>130</v>
      </c>
      <c r="F1" s="746"/>
    </row>
    <row r="2" spans="1:6" ht="21.75" customHeight="1">
      <c r="A2" s="744" t="s">
        <v>76</v>
      </c>
      <c r="B2" s="744"/>
      <c r="C2" s="744"/>
      <c r="D2" s="744"/>
      <c r="E2" s="744"/>
      <c r="F2" s="744"/>
    </row>
    <row r="3" spans="1:6" ht="21.75" customHeight="1">
      <c r="A3" s="744" t="s">
        <v>62</v>
      </c>
      <c r="B3" s="744"/>
      <c r="C3" s="744"/>
      <c r="D3" s="744"/>
      <c r="E3" s="744"/>
      <c r="F3" s="744"/>
    </row>
    <row r="4" spans="1:6" ht="21.75" customHeight="1">
      <c r="A4" s="744" t="s">
        <v>717</v>
      </c>
      <c r="B4" s="744"/>
      <c r="C4" s="744"/>
      <c r="D4" s="744"/>
      <c r="E4" s="744"/>
      <c r="F4" s="744"/>
    </row>
    <row r="5" ht="21.75" customHeight="1" thickBot="1"/>
    <row r="6" spans="1:6" ht="21.75" customHeight="1" thickBot="1">
      <c r="A6" s="438" t="s">
        <v>42</v>
      </c>
      <c r="B6" s="224" t="s">
        <v>47</v>
      </c>
      <c r="C6" s="439" t="s">
        <v>48</v>
      </c>
      <c r="D6" s="439" t="s">
        <v>63</v>
      </c>
      <c r="E6" s="439" t="s">
        <v>64</v>
      </c>
      <c r="F6" s="440" t="s">
        <v>65</v>
      </c>
    </row>
    <row r="7" spans="1:7" ht="21.75" customHeight="1">
      <c r="A7" s="445" t="s">
        <v>132</v>
      </c>
      <c r="B7" s="446">
        <v>230102</v>
      </c>
      <c r="C7" s="404">
        <v>7482.5</v>
      </c>
      <c r="D7" s="404">
        <f>'ใบผ่านรายการ  2'!F32-ใบผ่านทั่วไป!F91</f>
        <v>9980.789999999999</v>
      </c>
      <c r="E7" s="447">
        <f>'ใบผ่านรายการ  2'!E32</f>
        <v>7482.5</v>
      </c>
      <c r="F7" s="181">
        <f>SUM(C7+D7-E7)</f>
        <v>9980.79</v>
      </c>
      <c r="G7" s="1">
        <v>1</v>
      </c>
    </row>
    <row r="8" spans="1:7" ht="21">
      <c r="A8" s="445" t="s">
        <v>128</v>
      </c>
      <c r="B8" s="446">
        <v>230105</v>
      </c>
      <c r="C8" s="404">
        <v>23324.1</v>
      </c>
      <c r="D8" s="404">
        <f>'ใบผ่านรายการ 1 '!H18</f>
        <v>40.49</v>
      </c>
      <c r="E8" s="447">
        <v>0</v>
      </c>
      <c r="F8" s="181">
        <f>SUM(C8+D8-E8)</f>
        <v>23364.59</v>
      </c>
      <c r="G8" s="1">
        <v>1</v>
      </c>
    </row>
    <row r="9" spans="1:6" ht="21">
      <c r="A9" s="451" t="s">
        <v>224</v>
      </c>
      <c r="B9" s="229" t="s">
        <v>391</v>
      </c>
      <c r="C9" s="404">
        <v>0</v>
      </c>
      <c r="D9" s="404">
        <f>'ใบผ่านรายการ 1 '!H19</f>
        <v>0</v>
      </c>
      <c r="E9" s="447">
        <f>'ใบผ่านรายการ  2'!E33</f>
        <v>0</v>
      </c>
      <c r="F9" s="181">
        <f aca="true" t="shared" si="0" ref="F9:F18">SUM(C9+D9-E9)</f>
        <v>0</v>
      </c>
    </row>
    <row r="10" spans="1:7" ht="21.75" customHeight="1">
      <c r="A10" s="441" t="s">
        <v>327</v>
      </c>
      <c r="B10" s="442">
        <v>230109</v>
      </c>
      <c r="C10" s="443">
        <v>116273.45</v>
      </c>
      <c r="D10" s="443">
        <f>'ใบผ่านรายการ 1 '!H16</f>
        <v>51900</v>
      </c>
      <c r="E10" s="444">
        <f>'ใบผ่านรายการ  2'!E34</f>
        <v>0</v>
      </c>
      <c r="F10" s="181">
        <f t="shared" si="0"/>
        <v>168173.45</v>
      </c>
      <c r="G10" s="743">
        <v>1</v>
      </c>
    </row>
    <row r="11" spans="1:7" ht="21.75" customHeight="1">
      <c r="A11" s="445" t="s">
        <v>133</v>
      </c>
      <c r="B11" s="446">
        <v>230110</v>
      </c>
      <c r="C11" s="404">
        <v>34380</v>
      </c>
      <c r="D11" s="404">
        <f>'ใบผ่านรายการ 1 '!H17</f>
        <v>0</v>
      </c>
      <c r="E11" s="447">
        <f>'ใบผ่านรายการ  2'!E35</f>
        <v>0</v>
      </c>
      <c r="F11" s="181">
        <f t="shared" si="0"/>
        <v>34380</v>
      </c>
      <c r="G11" s="1">
        <v>1</v>
      </c>
    </row>
    <row r="12" spans="1:6" ht="21">
      <c r="A12" s="445" t="s">
        <v>310</v>
      </c>
      <c r="B12" s="446">
        <v>215014</v>
      </c>
      <c r="C12" s="404">
        <v>0</v>
      </c>
      <c r="D12" s="404">
        <v>0</v>
      </c>
      <c r="E12" s="447">
        <v>0</v>
      </c>
      <c r="F12" s="181">
        <f t="shared" si="0"/>
        <v>0</v>
      </c>
    </row>
    <row r="13" spans="1:7" ht="21">
      <c r="A13" s="448" t="s">
        <v>174</v>
      </c>
      <c r="B13" s="449">
        <v>230115</v>
      </c>
      <c r="C13" s="450">
        <v>15870</v>
      </c>
      <c r="D13" s="404">
        <f>'ใบผ่านรายการ  2'!F36+'ใบผ่านรายการ 1 '!H20</f>
        <v>15570</v>
      </c>
      <c r="E13" s="447">
        <f>'ใบผ่านรายการ  2'!E36</f>
        <v>15570</v>
      </c>
      <c r="F13" s="181">
        <f t="shared" si="0"/>
        <v>15870</v>
      </c>
      <c r="G13" s="743">
        <v>1</v>
      </c>
    </row>
    <row r="14" spans="1:6" ht="21">
      <c r="A14" s="454" t="s">
        <v>390</v>
      </c>
      <c r="B14" s="449">
        <v>230116</v>
      </c>
      <c r="C14" s="450">
        <v>42020</v>
      </c>
      <c r="D14" s="450">
        <v>0</v>
      </c>
      <c r="E14" s="453">
        <f>'ใบผ่านรายการ  2'!E37</f>
        <v>0</v>
      </c>
      <c r="F14" s="181">
        <f t="shared" si="0"/>
        <v>42020</v>
      </c>
    </row>
    <row r="15" spans="1:6" ht="21">
      <c r="A15" s="726" t="s">
        <v>653</v>
      </c>
      <c r="B15" s="449"/>
      <c r="C15" s="450"/>
      <c r="D15" s="450">
        <v>0</v>
      </c>
      <c r="E15" s="453">
        <v>0</v>
      </c>
      <c r="F15" s="181">
        <f t="shared" si="0"/>
        <v>0</v>
      </c>
    </row>
    <row r="16" spans="1:6" ht="21">
      <c r="A16" s="726" t="s">
        <v>651</v>
      </c>
      <c r="B16" s="449"/>
      <c r="C16" s="450"/>
      <c r="D16" s="450">
        <v>0</v>
      </c>
      <c r="E16" s="453">
        <f>'ใบผ่านรายการ  2'!E38</f>
        <v>0</v>
      </c>
      <c r="F16" s="181">
        <f t="shared" si="0"/>
        <v>0</v>
      </c>
    </row>
    <row r="17" spans="1:6" ht="21">
      <c r="A17" s="452" t="s">
        <v>175</v>
      </c>
      <c r="B17" s="449">
        <v>230199</v>
      </c>
      <c r="C17" s="450">
        <v>0</v>
      </c>
      <c r="D17" s="450">
        <f>'ใบผ่านรายการ 1 '!H26</f>
        <v>4000</v>
      </c>
      <c r="E17" s="453">
        <f>'ใบผ่านรายการ  2'!E42</f>
        <v>0</v>
      </c>
      <c r="F17" s="181">
        <f t="shared" si="0"/>
        <v>4000</v>
      </c>
    </row>
    <row r="18" spans="1:6" ht="21.75" thickBot="1">
      <c r="A18" s="523" t="s">
        <v>395</v>
      </c>
      <c r="B18" s="449">
        <v>230199</v>
      </c>
      <c r="C18" s="450">
        <v>40000</v>
      </c>
      <c r="D18" s="450">
        <f>'ใบผ่านรายการ 1 '!H23</f>
        <v>0</v>
      </c>
      <c r="E18" s="447">
        <f>'ใบผ่านรายการ  2'!E39</f>
        <v>0</v>
      </c>
      <c r="F18" s="181">
        <f t="shared" si="0"/>
        <v>40000</v>
      </c>
    </row>
    <row r="19" spans="1:7" ht="21.75" thickBot="1">
      <c r="A19" s="769" t="s">
        <v>70</v>
      </c>
      <c r="B19" s="852"/>
      <c r="C19" s="455">
        <f>SUM(C7:C18)</f>
        <v>279350.05</v>
      </c>
      <c r="D19" s="455">
        <f>D7+D8+D9+D10+D11+D12+D13+D14+D15+D16+D17</f>
        <v>81491.28</v>
      </c>
      <c r="E19" s="455">
        <f>E7+E8+E9+E10+E11+E12+E13+E14+E15+E16+E17+E18</f>
        <v>23052.5</v>
      </c>
      <c r="F19" s="455">
        <f>SUM(F7:F18)</f>
        <v>337788.83</v>
      </c>
      <c r="G19" s="184"/>
    </row>
    <row r="20" spans="4:7" ht="21.75" customHeight="1">
      <c r="D20" s="184"/>
      <c r="G20" s="184">
        <f>F19-G19</f>
        <v>337788.83</v>
      </c>
    </row>
    <row r="21" spans="3:7" ht="21.75" customHeight="1">
      <c r="C21" s="2"/>
      <c r="D21" s="184"/>
      <c r="F21" s="184"/>
      <c r="G21" s="184"/>
    </row>
    <row r="22" spans="2:4" ht="21.75" customHeight="1">
      <c r="B22" s="850"/>
      <c r="C22" s="850"/>
      <c r="D22" s="850"/>
    </row>
    <row r="23" spans="2:3" ht="21.75" customHeight="1">
      <c r="B23" s="3"/>
      <c r="C23" s="3"/>
    </row>
    <row r="24" spans="2:4" ht="21.75" customHeight="1">
      <c r="B24" s="851"/>
      <c r="C24" s="851"/>
      <c r="D24" s="851"/>
    </row>
  </sheetData>
  <sheetProtection/>
  <mergeCells count="7">
    <mergeCell ref="B22:D22"/>
    <mergeCell ref="B24:D24"/>
    <mergeCell ref="E1:F1"/>
    <mergeCell ref="A2:F2"/>
    <mergeCell ref="A3:F3"/>
    <mergeCell ref="A4:F4"/>
    <mergeCell ref="A19:B19"/>
  </mergeCells>
  <printOptions horizontalCentered="1"/>
  <pageMargins left="0.25" right="0" top="0.7874015748031497" bottom="0.5905511811023623" header="0.5118110236220472" footer="0.511811023622047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KKD Windows Se7en V1</cp:lastModifiedBy>
  <cp:lastPrinted>2017-09-06T04:03:04Z</cp:lastPrinted>
  <dcterms:created xsi:type="dcterms:W3CDTF">2004-10-24T06:57:58Z</dcterms:created>
  <dcterms:modified xsi:type="dcterms:W3CDTF">2017-09-06T07:49:28Z</dcterms:modified>
  <cp:category/>
  <cp:version/>
  <cp:contentType/>
  <cp:contentStatus/>
</cp:coreProperties>
</file>