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75" yWindow="15" windowWidth="8625" windowHeight="4545" tabRatio="623"/>
  </bookViews>
  <sheets>
    <sheet name="ผลการดำเนินงาน1" sheetId="98" r:id="rId1"/>
    <sheet name="รายงานรายจ่ายตามแผนงาน1" sheetId="137" r:id="rId2"/>
    <sheet name="รายรับ(1)" sheetId="140" r:id="rId3"/>
  </sheets>
  <externalReferences>
    <externalReference r:id="rId4"/>
  </externalReferences>
  <definedNames>
    <definedName name="_xlnm.Print_Area" localSheetId="0">ผลการดำเนินงาน1!$A$1:$T$43</definedName>
    <definedName name="_xlnm.Print_Area" localSheetId="1">รายงานรายจ่ายตามแผนงาน1!$A$1:$J$194</definedName>
    <definedName name="_xlnm.Print_Titles" localSheetId="2">'รายรับ(1)'!$6:$7</definedName>
  </definedNames>
  <calcPr calcId="125725"/>
</workbook>
</file>

<file path=xl/calcChain.xml><?xml version="1.0" encoding="utf-8"?>
<calcChain xmlns="http://schemas.openxmlformats.org/spreadsheetml/2006/main">
  <c r="G77" i="140"/>
  <c r="G76"/>
  <c r="G75"/>
  <c r="G68"/>
  <c r="G78"/>
  <c r="G79"/>
  <c r="E192" i="137" l="1"/>
  <c r="F192"/>
  <c r="G181"/>
  <c r="G182"/>
  <c r="G183"/>
  <c r="G184"/>
  <c r="G185"/>
  <c r="G186"/>
  <c r="G187"/>
  <c r="G188"/>
  <c r="G189"/>
  <c r="G190"/>
  <c r="G191"/>
  <c r="G192"/>
  <c r="G180"/>
  <c r="E173"/>
  <c r="F173"/>
  <c r="G162"/>
  <c r="G163"/>
  <c r="G164"/>
  <c r="G165"/>
  <c r="G166"/>
  <c r="G167"/>
  <c r="G168"/>
  <c r="G169"/>
  <c r="G170"/>
  <c r="G171"/>
  <c r="G172"/>
  <c r="G173"/>
  <c r="G161"/>
  <c r="E154"/>
  <c r="F154"/>
  <c r="G143"/>
  <c r="G144"/>
  <c r="G145"/>
  <c r="G146"/>
  <c r="G147"/>
  <c r="G148"/>
  <c r="G149"/>
  <c r="G150"/>
  <c r="G151"/>
  <c r="G152"/>
  <c r="G153"/>
  <c r="G154"/>
  <c r="G142"/>
  <c r="E135"/>
  <c r="F135"/>
  <c r="G121"/>
  <c r="G122"/>
  <c r="G123"/>
  <c r="G124"/>
  <c r="G125"/>
  <c r="G126"/>
  <c r="G127"/>
  <c r="G128"/>
  <c r="G129"/>
  <c r="G130"/>
  <c r="G131"/>
  <c r="G132"/>
  <c r="G133"/>
  <c r="G134"/>
  <c r="G135"/>
  <c r="G120"/>
  <c r="F121"/>
  <c r="G113"/>
  <c r="E113"/>
  <c r="F113"/>
  <c r="G102"/>
  <c r="G103"/>
  <c r="G104"/>
  <c r="G105"/>
  <c r="G106"/>
  <c r="G107"/>
  <c r="G108"/>
  <c r="G109"/>
  <c r="G110"/>
  <c r="G111"/>
  <c r="G112"/>
  <c r="G101"/>
  <c r="E94"/>
  <c r="F94"/>
  <c r="G84"/>
  <c r="G85"/>
  <c r="G86"/>
  <c r="G87"/>
  <c r="G88"/>
  <c r="G89"/>
  <c r="G90"/>
  <c r="G91"/>
  <c r="G92"/>
  <c r="G93"/>
  <c r="G94"/>
  <c r="G83"/>
  <c r="G82"/>
  <c r="D68"/>
  <c r="G68" s="1"/>
  <c r="D67"/>
  <c r="E75"/>
  <c r="F75"/>
  <c r="G61"/>
  <c r="G62"/>
  <c r="G63"/>
  <c r="G64"/>
  <c r="G65"/>
  <c r="G66"/>
  <c r="G67"/>
  <c r="G69"/>
  <c r="G70"/>
  <c r="G71"/>
  <c r="G72"/>
  <c r="G73"/>
  <c r="G74"/>
  <c r="G60"/>
  <c r="E53"/>
  <c r="F53"/>
  <c r="G53"/>
  <c r="G43"/>
  <c r="G44"/>
  <c r="G45"/>
  <c r="G46"/>
  <c r="G47"/>
  <c r="G48"/>
  <c r="G49"/>
  <c r="G50"/>
  <c r="G51"/>
  <c r="G52"/>
  <c r="G41"/>
  <c r="G42"/>
  <c r="D31"/>
  <c r="D30"/>
  <c r="D29"/>
  <c r="D28"/>
  <c r="D27"/>
  <c r="D26"/>
  <c r="G26" s="1"/>
  <c r="D23"/>
  <c r="G23" s="1"/>
  <c r="D24"/>
  <c r="D25"/>
  <c r="G25" s="1"/>
  <c r="G24"/>
  <c r="G27"/>
  <c r="G28"/>
  <c r="G29"/>
  <c r="G30"/>
  <c r="G31"/>
  <c r="G32"/>
  <c r="G33"/>
  <c r="G22"/>
  <c r="G5"/>
  <c r="G15" s="1"/>
  <c r="E34"/>
  <c r="F34"/>
  <c r="F15"/>
  <c r="E15"/>
  <c r="H68"/>
  <c r="I67"/>
  <c r="H67"/>
  <c r="H64"/>
  <c r="H61"/>
  <c r="M14" i="98"/>
  <c r="P12"/>
  <c r="H34" i="137"/>
  <c r="H15"/>
  <c r="G75" l="1"/>
  <c r="G34"/>
  <c r="C17" i="98"/>
  <c r="D16"/>
  <c r="D12"/>
  <c r="C16"/>
  <c r="C10"/>
  <c r="D23"/>
  <c r="J22" i="137"/>
  <c r="I5"/>
  <c r="G36" i="98"/>
  <c r="F35"/>
  <c r="F34"/>
  <c r="F33"/>
  <c r="F31"/>
  <c r="F30"/>
  <c r="F29"/>
  <c r="F28"/>
  <c r="I28" s="1"/>
  <c r="H13" i="140"/>
  <c r="G10"/>
  <c r="H11"/>
  <c r="H12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10"/>
  <c r="G11"/>
  <c r="G12"/>
  <c r="G14"/>
  <c r="G15"/>
  <c r="G16"/>
  <c r="G17"/>
  <c r="G18"/>
  <c r="G19"/>
  <c r="G20"/>
  <c r="G21"/>
  <c r="G22"/>
  <c r="G23"/>
  <c r="G24"/>
  <c r="G25"/>
  <c r="G26"/>
  <c r="G27"/>
  <c r="G28"/>
  <c r="G29"/>
  <c r="G31"/>
  <c r="G32"/>
  <c r="G33"/>
  <c r="G35"/>
  <c r="G36"/>
  <c r="G37"/>
  <c r="G38"/>
  <c r="G39"/>
  <c r="G41"/>
  <c r="G42"/>
  <c r="G44"/>
  <c r="G45"/>
  <c r="G46"/>
  <c r="G47"/>
  <c r="G48"/>
  <c r="G50"/>
  <c r="G51"/>
  <c r="G52"/>
  <c r="G53"/>
  <c r="G54"/>
  <c r="G57"/>
  <c r="G58"/>
  <c r="G59"/>
  <c r="G60"/>
  <c r="G61"/>
  <c r="G62"/>
  <c r="G63"/>
  <c r="G64"/>
  <c r="G67"/>
  <c r="G69"/>
  <c r="G70"/>
  <c r="G71"/>
  <c r="G72"/>
  <c r="G74"/>
  <c r="G23" i="98"/>
  <c r="P15"/>
  <c r="M12"/>
  <c r="O19"/>
  <c r="K18"/>
  <c r="J18"/>
  <c r="M17"/>
  <c r="P17"/>
  <c r="N17"/>
  <c r="K17"/>
  <c r="J17"/>
  <c r="R16"/>
  <c r="Q16"/>
  <c r="P16"/>
  <c r="N16"/>
  <c r="M16"/>
  <c r="K16"/>
  <c r="J16"/>
  <c r="Q15"/>
  <c r="N15"/>
  <c r="M15"/>
  <c r="K15"/>
  <c r="J15"/>
  <c r="Q14"/>
  <c r="P14"/>
  <c r="O14"/>
  <c r="N14"/>
  <c r="L14"/>
  <c r="K14"/>
  <c r="J14"/>
  <c r="K13"/>
  <c r="J13"/>
  <c r="Q12"/>
  <c r="O12"/>
  <c r="N12"/>
  <c r="L12"/>
  <c r="K12"/>
  <c r="J12"/>
  <c r="J11"/>
  <c r="F10"/>
  <c r="T10"/>
  <c r="I10" s="1"/>
  <c r="E37"/>
  <c r="E11"/>
  <c r="E15"/>
  <c r="E16"/>
  <c r="E17"/>
  <c r="E18"/>
  <c r="E19"/>
  <c r="E20"/>
  <c r="E21"/>
  <c r="E22"/>
  <c r="E10"/>
  <c r="B12"/>
  <c r="E12" s="1"/>
  <c r="B14"/>
  <c r="E14" s="1"/>
  <c r="B13"/>
  <c r="E13" s="1"/>
  <c r="F73" i="140"/>
  <c r="E73"/>
  <c r="D73"/>
  <c r="G73" s="1"/>
  <c r="F65"/>
  <c r="E65"/>
  <c r="D65"/>
  <c r="C65"/>
  <c r="F55"/>
  <c r="E55"/>
  <c r="C55"/>
  <c r="D49"/>
  <c r="D55" s="1"/>
  <c r="G55" s="1"/>
  <c r="F43"/>
  <c r="E43"/>
  <c r="D43"/>
  <c r="C43"/>
  <c r="F40"/>
  <c r="E40"/>
  <c r="D40"/>
  <c r="C40"/>
  <c r="F34"/>
  <c r="E34"/>
  <c r="D34"/>
  <c r="C34"/>
  <c r="F30"/>
  <c r="E30"/>
  <c r="D30"/>
  <c r="G30" s="1"/>
  <c r="C30"/>
  <c r="F13"/>
  <c r="F56" s="1"/>
  <c r="F66" s="1"/>
  <c r="F79" s="1"/>
  <c r="E13"/>
  <c r="E56" s="1"/>
  <c r="E66" s="1"/>
  <c r="E79" s="1"/>
  <c r="D13"/>
  <c r="D56" s="1"/>
  <c r="D66" s="1"/>
  <c r="D79" s="1"/>
  <c r="C13"/>
  <c r="C56" s="1"/>
  <c r="C66" s="1"/>
  <c r="C79" s="1"/>
  <c r="H192" i="137"/>
  <c r="D192"/>
  <c r="I181"/>
  <c r="I182"/>
  <c r="I183"/>
  <c r="I184"/>
  <c r="I185"/>
  <c r="I186"/>
  <c r="I187"/>
  <c r="I188"/>
  <c r="I189"/>
  <c r="I190"/>
  <c r="I191"/>
  <c r="I180"/>
  <c r="H173"/>
  <c r="D173"/>
  <c r="I162"/>
  <c r="I163"/>
  <c r="I164"/>
  <c r="I165"/>
  <c r="I166"/>
  <c r="I167"/>
  <c r="I168"/>
  <c r="I169"/>
  <c r="I170"/>
  <c r="I171"/>
  <c r="I172"/>
  <c r="I161"/>
  <c r="H154"/>
  <c r="D154"/>
  <c r="I143"/>
  <c r="I144"/>
  <c r="I145"/>
  <c r="I146"/>
  <c r="I147"/>
  <c r="I148"/>
  <c r="I149"/>
  <c r="I150"/>
  <c r="I151"/>
  <c r="I152"/>
  <c r="I153"/>
  <c r="I142"/>
  <c r="H135"/>
  <c r="D135"/>
  <c r="I121"/>
  <c r="I122"/>
  <c r="I123"/>
  <c r="I124"/>
  <c r="I125"/>
  <c r="I126"/>
  <c r="I127"/>
  <c r="I128"/>
  <c r="I129"/>
  <c r="I130"/>
  <c r="I131"/>
  <c r="I132"/>
  <c r="I133"/>
  <c r="I134"/>
  <c r="I120"/>
  <c r="H113"/>
  <c r="D113"/>
  <c r="I102"/>
  <c r="I103"/>
  <c r="I104"/>
  <c r="I105"/>
  <c r="I106"/>
  <c r="I107"/>
  <c r="I108"/>
  <c r="I109"/>
  <c r="I110"/>
  <c r="I111"/>
  <c r="I112"/>
  <c r="I101"/>
  <c r="H94"/>
  <c r="D94"/>
  <c r="I83"/>
  <c r="I84"/>
  <c r="I85"/>
  <c r="I86"/>
  <c r="I87"/>
  <c r="I88"/>
  <c r="I89"/>
  <c r="I90"/>
  <c r="I91"/>
  <c r="I92"/>
  <c r="I93"/>
  <c r="I82"/>
  <c r="H75"/>
  <c r="I75"/>
  <c r="D75"/>
  <c r="J61"/>
  <c r="J62"/>
  <c r="J63"/>
  <c r="J64"/>
  <c r="J65"/>
  <c r="J66"/>
  <c r="J67"/>
  <c r="J68"/>
  <c r="J69"/>
  <c r="J70"/>
  <c r="J71"/>
  <c r="J72"/>
  <c r="J73"/>
  <c r="J74"/>
  <c r="J60"/>
  <c r="I43"/>
  <c r="I44"/>
  <c r="I45"/>
  <c r="H53"/>
  <c r="D53"/>
  <c r="I42"/>
  <c r="I46"/>
  <c r="I47"/>
  <c r="I48"/>
  <c r="I49"/>
  <c r="I50"/>
  <c r="I51"/>
  <c r="I52"/>
  <c r="I41"/>
  <c r="J24"/>
  <c r="J25"/>
  <c r="J26"/>
  <c r="J27"/>
  <c r="J28"/>
  <c r="J29"/>
  <c r="J30"/>
  <c r="J31"/>
  <c r="J32"/>
  <c r="J33"/>
  <c r="D34"/>
  <c r="I34"/>
  <c r="I6"/>
  <c r="D15"/>
  <c r="K23" i="98"/>
  <c r="L23"/>
  <c r="N23"/>
  <c r="O23"/>
  <c r="Q23"/>
  <c r="R23"/>
  <c r="S23"/>
  <c r="J75" i="137" l="1"/>
  <c r="C23" i="98"/>
  <c r="G34" i="140"/>
  <c r="G40"/>
  <c r="G43"/>
  <c r="G65"/>
  <c r="G49"/>
  <c r="G13"/>
  <c r="G66"/>
  <c r="G56"/>
  <c r="I53" i="137"/>
  <c r="I192"/>
  <c r="I173"/>
  <c r="I154"/>
  <c r="I135"/>
  <c r="I113"/>
  <c r="I94"/>
  <c r="J23"/>
  <c r="J34" s="1"/>
  <c r="I15"/>
  <c r="F37" i="98"/>
  <c r="I29"/>
  <c r="I30"/>
  <c r="I31"/>
  <c r="I32"/>
  <c r="I34"/>
  <c r="I35"/>
  <c r="I36"/>
  <c r="I22"/>
  <c r="I15"/>
  <c r="P23"/>
  <c r="J23"/>
  <c r="G37"/>
  <c r="F23"/>
  <c r="B23"/>
  <c r="I21"/>
  <c r="I20"/>
  <c r="I19"/>
  <c r="I18"/>
  <c r="I17"/>
  <c r="I16"/>
  <c r="I14"/>
  <c r="I13"/>
  <c r="I11"/>
  <c r="A2"/>
  <c r="F38" l="1"/>
  <c r="E23"/>
  <c r="I37"/>
  <c r="I12"/>
  <c r="M23"/>
  <c r="I23"/>
  <c r="T23"/>
</calcChain>
</file>

<file path=xl/sharedStrings.xml><?xml version="1.0" encoding="utf-8"?>
<sst xmlns="http://schemas.openxmlformats.org/spreadsheetml/2006/main" count="601" uniqueCount="207">
  <si>
    <t>รวม</t>
  </si>
  <si>
    <t>หน่วย : บาท</t>
  </si>
  <si>
    <t>รายการ</t>
  </si>
  <si>
    <t>ประมาณการ</t>
  </si>
  <si>
    <t>สาธารณสุข</t>
  </si>
  <si>
    <t>การศาสนา</t>
  </si>
  <si>
    <t>งบกลาง</t>
  </si>
  <si>
    <t>ค่าใช้สอย</t>
  </si>
  <si>
    <t>ค่าวัสดุ</t>
  </si>
  <si>
    <t>รวมรายจ่าย</t>
  </si>
  <si>
    <t>รายรับ</t>
  </si>
  <si>
    <t>ภาษีอากร</t>
  </si>
  <si>
    <t>รายได้จากทรัพย์สิน</t>
  </si>
  <si>
    <t>เงินอุดหนุนทั่วไป</t>
  </si>
  <si>
    <t>รวมรายรับ</t>
  </si>
  <si>
    <t>วัฒนธรรม</t>
  </si>
  <si>
    <t>และนันทนาการ</t>
  </si>
  <si>
    <t>รายรับจริงสูงกว่า หรือ (ต่ำกว่า) รายจ่ายจริง</t>
  </si>
  <si>
    <t>การรักษาความ
สงบภายใน</t>
  </si>
  <si>
    <t xml:space="preserve"> รายจ่าย</t>
  </si>
  <si>
    <t>ค่าครุภัณฑ์</t>
  </si>
  <si>
    <t>รัฐบาลจัดสรรให้</t>
  </si>
  <si>
    <t>สร้างความเข้มแข็งของชุมชน</t>
  </si>
  <si>
    <t>การศึกษา</t>
  </si>
  <si>
    <t>ค่าจ้างชั่วคราว</t>
  </si>
  <si>
    <t>ค่าที่ดินและสิ่งก่อสร้าง</t>
  </si>
  <si>
    <t>รายได้เบ็ดเตล็ด</t>
  </si>
  <si>
    <t>ค่าตอบแทน</t>
  </si>
  <si>
    <t>ค่าสาธารณูปโภค</t>
  </si>
  <si>
    <t>เงินอุดหนุน</t>
  </si>
  <si>
    <t xml:space="preserve"> </t>
  </si>
  <si>
    <t>ค่าธรรมเนียม ค่าปรับและใบอนุญาต</t>
  </si>
  <si>
    <t>รายได้จากทุน</t>
  </si>
  <si>
    <t>การเกษตร</t>
  </si>
  <si>
    <t>สังคม
สงเคราะห์</t>
  </si>
  <si>
    <t>เคหะ
และชุมชน</t>
  </si>
  <si>
    <t>รายจ่ายอื่น</t>
  </si>
  <si>
    <t>ค่าจ้างประจำ</t>
  </si>
  <si>
    <t>บริหารงานคลัง</t>
  </si>
  <si>
    <t>บริหารงานทั่วไป</t>
  </si>
  <si>
    <t>เงินเดือน(ฝ่ายการเมือง)</t>
  </si>
  <si>
    <t>เงินเดือน(ฝ่ายประจำ)</t>
  </si>
  <si>
    <t>รวมจ่ายจาก</t>
  </si>
  <si>
    <t>เงินงบประมาณ</t>
  </si>
  <si>
    <t>เงินอุดหนุนระบุ</t>
  </si>
  <si>
    <t>วัตถุประสงค์/เฉพาะกิจ</t>
  </si>
  <si>
    <t>เงินอุดหนุนระบุวัตถุประสงค์/เฉพาะกิจ</t>
  </si>
  <si>
    <t>ค่าครุภัณฑ์(หมายเหตุ1)</t>
  </si>
  <si>
    <t>ค่าที่ดินและสิ่งก่อสร้าง(หมายเหตุ2)</t>
  </si>
  <si>
    <t>เทศบาลตำบลบ้านค้อ</t>
  </si>
  <si>
    <t>รหัสบัญชี</t>
  </si>
  <si>
    <t>ประมาณ</t>
  </si>
  <si>
    <t>ตุลาคม</t>
  </si>
  <si>
    <t>พฤศจิกายน</t>
  </si>
  <si>
    <t>ธันวาคม</t>
  </si>
  <si>
    <t>รวมรับจริง</t>
  </si>
  <si>
    <t xml:space="preserve">  (+)ส่วนเกิน</t>
  </si>
  <si>
    <t>การ</t>
  </si>
  <si>
    <t>รายได้ที่จัดเก็บเอง</t>
  </si>
  <si>
    <t>หมวดภาษีอากร</t>
  </si>
  <si>
    <t>411000</t>
  </si>
  <si>
    <t>ภาษีโรงเรือนและที่ดิน</t>
  </si>
  <si>
    <t>411001</t>
  </si>
  <si>
    <t>ภาษีบำรุงท้องที่</t>
  </si>
  <si>
    <t>411002</t>
  </si>
  <si>
    <t>ภาษีป้าย</t>
  </si>
  <si>
    <t>411003</t>
  </si>
  <si>
    <t>หมวดค่าปรับ , ธรรมเนียมและใบอนุญาต</t>
  </si>
  <si>
    <t>412000</t>
  </si>
  <si>
    <t>ค่าธรรมเนียมควบคุมอาคาร</t>
  </si>
  <si>
    <t>412106</t>
  </si>
  <si>
    <t>ค่าปรับผิดสัญญา</t>
  </si>
  <si>
    <t>412210</t>
  </si>
  <si>
    <t>412302</t>
  </si>
  <si>
    <t>412307</t>
  </si>
  <si>
    <t>412303</t>
  </si>
  <si>
    <t>ค่าใบอนุญาตอื่น</t>
  </si>
  <si>
    <t>412399</t>
  </si>
  <si>
    <t>ค่าใบอนุญาตเจาะน้ำบาดาล</t>
  </si>
  <si>
    <t>ค่าธรรมเนียมคำขออนุญาตใช้น้ำบาดาล</t>
  </si>
  <si>
    <t>ค่าธรรมเนียมควบคุมการฆ่าสัตว์</t>
  </si>
  <si>
    <t>412101</t>
  </si>
  <si>
    <t>ค่าธรรมเนียมบริการเก็บขยะ</t>
  </si>
  <si>
    <t>412107</t>
  </si>
  <si>
    <t>ค่าธรรมเนียมจดทะเบียนพาณิชย์</t>
  </si>
  <si>
    <t>412128</t>
  </si>
  <si>
    <t>ค่าธรรมเนียมงานทะเบียนราษฎ์</t>
  </si>
  <si>
    <t>412112</t>
  </si>
  <si>
    <t>412199</t>
  </si>
  <si>
    <t>หมวดรายได้จากทรัพย์สิน</t>
  </si>
  <si>
    <t>413000</t>
  </si>
  <si>
    <t>ค่าเช่าหรือค่าบริการสถานที่</t>
  </si>
  <si>
    <t>413002</t>
  </si>
  <si>
    <t>413003</t>
  </si>
  <si>
    <t>หมวดรายได้เบ็ดเตล็ด</t>
  </si>
  <si>
    <t>415000</t>
  </si>
  <si>
    <t>ค่าขายแบบแปลน</t>
  </si>
  <si>
    <t>415004</t>
  </si>
  <si>
    <t>ค่ารับสมัครสมาชิกอบต.,รับสมัครสอบลูกจ้าง</t>
  </si>
  <si>
    <t>415008</t>
  </si>
  <si>
    <t>รายได้เบ็ดเตล็ดอื่น</t>
  </si>
  <si>
    <t>415999</t>
  </si>
  <si>
    <t>หมวดภาษีที่รัฐบาลจัดสรรให้</t>
  </si>
  <si>
    <t>420000</t>
  </si>
  <si>
    <t xml:space="preserve"> ภาษีมูลค่าเพิ่ม 1 ใน 9</t>
  </si>
  <si>
    <t>421004</t>
  </si>
  <si>
    <t xml:space="preserve"> ภาษีมูลค่าเพิ่ม ตาม พรบ.ฯ</t>
  </si>
  <si>
    <t>421002</t>
  </si>
  <si>
    <t>ภาษีธุรกิจเฉพาะ</t>
  </si>
  <si>
    <t>421005</t>
  </si>
  <si>
    <t>ภาษีสุรา</t>
  </si>
  <si>
    <t>421006</t>
  </si>
  <si>
    <t>ภาษีสรรพสามิต</t>
  </si>
  <si>
    <t>421007</t>
  </si>
  <si>
    <t>ค่าภาคหลวงแร่</t>
  </si>
  <si>
    <t>421011</t>
  </si>
  <si>
    <t>ค่าภาคหลวงปิโตรเลียม</t>
  </si>
  <si>
    <t>421013</t>
  </si>
  <si>
    <t>ค่าธรรมเนียมน้ำบาดาล</t>
  </si>
  <si>
    <t>ค่าธรรมเนียมสิทธิและนิติกรรมที่ดิน</t>
  </si>
  <si>
    <t>421015</t>
  </si>
  <si>
    <t>ภาษีรถยนต์และล้อเลื่อน</t>
  </si>
  <si>
    <t>รวมเงินรายได้</t>
  </si>
  <si>
    <t>หมวดเงินอุดหนุน</t>
  </si>
  <si>
    <t>430000</t>
  </si>
  <si>
    <t>เงินอุดหนุนทั่วไป (ตามอำนาจหน้าที่)</t>
  </si>
  <si>
    <t>431002</t>
  </si>
  <si>
    <t>อาหารเสริมนม</t>
  </si>
  <si>
    <t>อาหารกลางวันโรงเรียน</t>
  </si>
  <si>
    <t>ส่งเสริมศักยภาพการจัดการศึกษา(2,000)</t>
  </si>
  <si>
    <t>บริการสาธารณสุขมูลฐาน</t>
  </si>
  <si>
    <t>เบี้ยเอดส์</t>
  </si>
  <si>
    <t>รวมเงินอุดหนุนทั่วไป</t>
  </si>
  <si>
    <t>รวมเงินรายรับตามเทศบัญญัติทั้งสิ้น</t>
  </si>
  <si>
    <t>เงินอุดหนุนทั่วไปตามวัตถุประสงค์-ตามยุทธศาสตร์เพื่อพัฒนาประเทศปี57</t>
  </si>
  <si>
    <t>เงินอุดหนุนทั่วไปตามวัตถุประสงค์-เบี้ยยังชีพผู้สูงอายุ</t>
  </si>
  <si>
    <t>เงินอุดหนุนทั่วไปตามวัตถุประสงค์-เบี้ยยังชีพผู้พิการ</t>
  </si>
  <si>
    <t>เงินอุดหนุนทั่วไปตามวัตถุประสงค์-บุคลากรถ่ายโอน</t>
  </si>
  <si>
    <t>เงินอุดหนุนทั่วไปตามวัตถุประสงค์-โครงการป้องกันและแก้ไขปัญหายาเสพติด</t>
  </si>
  <si>
    <t>รวมเงินอุดหนุนทั่วไประบุวัตถุประสงค์</t>
  </si>
  <si>
    <t>เงินอุดหนุนเฉพาะกิจ</t>
  </si>
  <si>
    <t>รวมเงินอุดหนุนเฉพาะกิจ</t>
  </si>
  <si>
    <t>รวมเงินรายรับทั้งสิ้น</t>
  </si>
  <si>
    <t>งบ</t>
  </si>
  <si>
    <t>หมวด</t>
  </si>
  <si>
    <t>แหล่งเงิน</t>
  </si>
  <si>
    <t>หมายเหตุ  ระบุเงินงบประมาณหรือเงินอุดหนุนระบุวัตถุประสงค์/เฉพาะกิจ</t>
  </si>
  <si>
    <t>งบประมาณ</t>
  </si>
  <si>
    <t>งบบุคลากร</t>
  </si>
  <si>
    <t>งบดำเนินงาน</t>
  </si>
  <si>
    <t>งบลงทุน</t>
  </si>
  <si>
    <t>งบรายจ่ายอื่น</t>
  </si>
  <si>
    <t>งบเงินอุดหนุน</t>
  </si>
  <si>
    <t>งานป้องกันภัยพลเรือนและระงับอัคคีภัย</t>
  </si>
  <si>
    <t>งานระดับก่อนวัยเรียนและประถมศึกษา</t>
  </si>
  <si>
    <t>งานบริการสาธารณสุขและงานสาธารณสุขอื่น</t>
  </si>
  <si>
    <t>งานบริหารทั่วไปเกี่ยวกับสังคมสงเคราะห์</t>
  </si>
  <si>
    <t>งานบริหารงานทั่วไปเกี่ยวกับเคหะและชุมชน</t>
  </si>
  <si>
    <t>งานส่งเสริมและสนับสนุนความเข้มแข็งชุมชน</t>
  </si>
  <si>
    <t>งานกีฬาและนันทนาการ</t>
  </si>
  <si>
    <t>งานบริหารงานทั่วไปเกี่ยวกับการศึกษา</t>
  </si>
  <si>
    <t>งานส่งเสริมการเกษตร</t>
  </si>
  <si>
    <t>งบแสดงผลการดำเนินงานจ่ายจากเงินรายรับ  ไตรมาส 1</t>
  </si>
  <si>
    <t>ค่าใบอนุญาตรับกำจัดสิ่งปฏิกูลหรือมูลฝอย</t>
  </si>
  <si>
    <t>ค่าใบอนุญาตเกี่ยวกับการควบคุมอาคาร</t>
  </si>
  <si>
    <t>ค่าใบอนุญาตประกอบการค้าสำหรับกิจการ-</t>
  </si>
  <si>
    <t>เป็นอันตรายต่อสุขภาพ</t>
  </si>
  <si>
    <t>ค่าใบอนุญาตจำหน่ายสินค้าในที่สาธารณะ</t>
  </si>
  <si>
    <t>ค่าธรรมเนียมอื่นๆ</t>
  </si>
  <si>
    <t>ดอกเบี้ยเงินฝากธนาคาร</t>
  </si>
  <si>
    <t>หมวดรายได้จากทุน</t>
  </si>
  <si>
    <t>ค่าขายทอดตลาดทรัพย์สิน</t>
  </si>
  <si>
    <t>ค่าจัดการเรียนการสอน(รายหัว)</t>
  </si>
  <si>
    <t>เงินอุดหนุนทั่วไปตามวัตถุประสงค์-การจัดการศึกษาภาคบังคับ</t>
  </si>
  <si>
    <t>โครงการซ่อมสร้างผิวทางลาดยางแอสฟัลท์ติกคอนกรีต บ้านวังตอ-บ้านเนินทอง</t>
  </si>
  <si>
    <t>โครงการก่อสร้างอาคารศูนย์พัฒนาเด็กเล็กขนาด 51-80คน(สถ.ศพด.๒)แห่งที่ 1</t>
  </si>
  <si>
    <t>โครงการก่อสร้างอาคารศูนย์พัฒนาเด็กเล็กขนาด 51-80คน(สถ.ศพด.๒)แห่งที่ 2</t>
  </si>
  <si>
    <t>ตั้งแต่วันที่  1  ตุลาคม  2558  ถึงวันที่  30  ธันวาคม  2558</t>
  </si>
  <si>
    <t>โอนเพิ่ม</t>
  </si>
  <si>
    <t>โอนลด</t>
  </si>
  <si>
    <t>งบประมาณที่ตั้งไว้</t>
  </si>
  <si>
    <t>ไตรมาส1</t>
  </si>
  <si>
    <t>รายงานรายจ่ายในการดำเนินงานที่จ่ายจากเงินรายรับตามแผนงาน  งบกลาง  ไตรมาส 1</t>
  </si>
  <si>
    <t>รายงานรายจ่ายในการดำเนินงานที่จ่ายจากเงินรายรับตามแผนงาน  บริหารงานทั่วไป  ไตรมาส 1</t>
  </si>
  <si>
    <t>รายงานรายจ่ายในการดำเนินงานที่จ่ายจากเงินรายรับตามแผนงาน  การรักษาความสงบภายใน ไตรมาส 1</t>
  </si>
  <si>
    <t>รายงานรายจ่ายในการดำเนินงานที่จ่ายจากเงินรายรับตามแผนงาน  การศึกษา  ไตรมาส 1</t>
  </si>
  <si>
    <t>รายงานรายจ่ายในการดำเนินงานที่จ่ายจากเงินรายรับตามแผนงาน  สาธารณสุข ไตรมาส 1</t>
  </si>
  <si>
    <t>รายงานรายจ่ายในการดำเนินงานที่จ่ายจากเงินรายรับตามแผนงาน  สังคมสงเคราะห์  ไตรมาส 1</t>
  </si>
  <si>
    <t>รายงานรายจ่ายในการดำเนินงานที่จ่ายจากเงินรายรับตามแผนงาน  เคหะและชุมชน ไตรมาส 1</t>
  </si>
  <si>
    <t>รายงานรายจ่ายในการดำเนินงานที่จ่ายจากเงินรายรับตามแผนงาน  สร้างความเข้มแข็งของชุมชน  ไตรมาส 1</t>
  </si>
  <si>
    <t>รายงานรายจ่ายในการดำเนินงานที่จ่ายจากเงินรายรับตามแผนงาน  การศาสนาวัฒนธรรมและนันทนาการ  ไตรมาส 1</t>
  </si>
  <si>
    <t>รายงานรายจ่ายในการดำเนินงานที่จ่ายจากเงินรายรับตามแผนงาน  การเกษตร  ไตรมาส 1</t>
  </si>
  <si>
    <t>ทั้งสิ้น</t>
  </si>
  <si>
    <t>ตั้งแต่วันที่ 1 ตุลาคม  2558  ถึง 30 ธันวาคม  2558</t>
  </si>
  <si>
    <t>รวมเงินอุดหนุน</t>
  </si>
  <si>
    <t>ระบุวัตถุประสงค์/</t>
  </si>
  <si>
    <t>ลงชื่อ…………………………….</t>
  </si>
  <si>
    <t>ลงชื่อ ส.ต.อ.…………………………………</t>
  </si>
  <si>
    <t>ลงชื่อ  ว่าที่ร้อยตรี ………………………………..</t>
  </si>
  <si>
    <t>(นางละเอียด    พันธ์เหลา)</t>
  </si>
  <si>
    <t xml:space="preserve">       ( ศักดา  ศิลปดอนบม )</t>
  </si>
  <si>
    <t xml:space="preserve">          (  สมพร  เทพวงษา )</t>
  </si>
  <si>
    <t>ตำแหน่งผู้อำนวยการกองคลัง</t>
  </si>
  <si>
    <t>ตำแหน่ง   ปลัดเทศบาลตำบลบ้านค้อ</t>
  </si>
  <si>
    <t xml:space="preserve">            นายกเทศมนตรีคำบลบ้านค้อ</t>
  </si>
  <si>
    <t>รายรับจริงประกอบงบแสดงผลการดำเนินงาน ไตรมาส 1/2559</t>
  </si>
  <si>
    <t>ณ วันที่  (1 ตุลาคม 2558 -30 ธันวาคม    2558 )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</si>
</sst>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(* #,##0.00_);_(* \(#,##0.00\);_(* &quot;-&quot;??_);_(@_)"/>
  </numFmts>
  <fonts count="23">
    <font>
      <sz val="16"/>
      <name val="AngsanaUPC"/>
      <charset val="222"/>
    </font>
    <font>
      <sz val="11"/>
      <color theme="1"/>
      <name val="Tahoma"/>
      <family val="2"/>
      <charset val="222"/>
      <scheme val="minor"/>
    </font>
    <font>
      <sz val="16"/>
      <name val="AngsanaUPC"/>
      <family val="1"/>
    </font>
    <font>
      <sz val="8"/>
      <name val="AngsanaUPC"/>
      <family val="1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4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6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8"/>
      <name val="AngsanaUPC"/>
      <family val="1"/>
    </font>
    <font>
      <b/>
      <u/>
      <sz val="18"/>
      <name val="TH SarabunPSK"/>
      <family val="2"/>
    </font>
    <font>
      <sz val="18"/>
      <name val="Angsana New"/>
      <family val="1"/>
    </font>
    <font>
      <b/>
      <sz val="16"/>
      <name val="AngsanaUPC"/>
      <family val="1"/>
    </font>
    <font>
      <sz val="16"/>
      <name val="Cordia New"/>
      <family val="2"/>
      <charset val="222"/>
    </font>
    <font>
      <sz val="16"/>
      <name val="Cordia Ne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187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" fillId="0" borderId="0"/>
  </cellStyleXfs>
  <cellXfs count="223">
    <xf numFmtId="0" fontId="0" fillId="0" borderId="0" xfId="0"/>
    <xf numFmtId="0" fontId="5" fillId="0" borderId="0" xfId="0" applyFont="1"/>
    <xf numFmtId="187" fontId="5" fillId="0" borderId="0" xfId="1" applyFont="1"/>
    <xf numFmtId="0" fontId="5" fillId="0" borderId="1" xfId="0" applyFont="1" applyBorder="1"/>
    <xf numFmtId="0" fontId="9" fillId="0" borderId="0" xfId="0" applyFont="1"/>
    <xf numFmtId="187" fontId="9" fillId="0" borderId="0" xfId="1" applyFont="1"/>
    <xf numFmtId="187" fontId="6" fillId="0" borderId="1" xfId="1" applyFont="1" applyBorder="1"/>
    <xf numFmtId="49" fontId="5" fillId="0" borderId="4" xfId="0" applyNumberFormat="1" applyFont="1" applyBorder="1" applyAlignment="1">
      <alignment horizontal="center"/>
    </xf>
    <xf numFmtId="187" fontId="6" fillId="0" borderId="0" xfId="1" applyFont="1" applyAlignment="1">
      <alignment horizontal="right"/>
    </xf>
    <xf numFmtId="0" fontId="6" fillId="0" borderId="1" xfId="0" applyFont="1" applyBorder="1" applyAlignment="1">
      <alignment horizontal="center"/>
    </xf>
    <xf numFmtId="0" fontId="12" fillId="0" borderId="0" xfId="0" applyFont="1"/>
    <xf numFmtId="187" fontId="12" fillId="0" borderId="0" xfId="1" applyFont="1"/>
    <xf numFmtId="0" fontId="13" fillId="0" borderId="2" xfId="0" applyFont="1" applyBorder="1" applyAlignment="1"/>
    <xf numFmtId="187" fontId="13" fillId="0" borderId="2" xfId="1" applyFont="1" applyBorder="1" applyAlignment="1"/>
    <xf numFmtId="187" fontId="13" fillId="0" borderId="7" xfId="1" applyFont="1" applyBorder="1" applyAlignment="1">
      <alignment horizontal="center" vertical="center"/>
    </xf>
    <xf numFmtId="187" fontId="13" fillId="0" borderId="7" xfId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87" fontId="13" fillId="0" borderId="4" xfId="1" applyFont="1" applyBorder="1" applyAlignment="1">
      <alignment horizontal="center" vertical="center"/>
    </xf>
    <xf numFmtId="187" fontId="13" fillId="0" borderId="5" xfId="1" applyFont="1" applyBorder="1" applyAlignment="1">
      <alignment horizontal="center" vertical="center"/>
    </xf>
    <xf numFmtId="187" fontId="12" fillId="0" borderId="7" xfId="1" applyFont="1" applyBorder="1" applyAlignment="1"/>
    <xf numFmtId="0" fontId="12" fillId="0" borderId="0" xfId="0" applyFont="1" applyAlignment="1"/>
    <xf numFmtId="187" fontId="12" fillId="0" borderId="4" xfId="1" applyFont="1" applyBorder="1" applyAlignment="1"/>
    <xf numFmtId="187" fontId="12" fillId="0" borderId="5" xfId="1" applyFont="1" applyBorder="1" applyAlignment="1"/>
    <xf numFmtId="187" fontId="13" fillId="0" borderId="0" xfId="1" applyFont="1" applyBorder="1" applyAlignment="1"/>
    <xf numFmtId="187" fontId="13" fillId="0" borderId="8" xfId="1" applyFont="1" applyBorder="1" applyAlignment="1"/>
    <xf numFmtId="187" fontId="12" fillId="0" borderId="0" xfId="1" applyFont="1" applyBorder="1" applyAlignment="1"/>
    <xf numFmtId="187" fontId="12" fillId="0" borderId="16" xfId="1" applyFont="1" applyBorder="1" applyAlignment="1"/>
    <xf numFmtId="0" fontId="12" fillId="0" borderId="19" xfId="0" applyFont="1" applyBorder="1" applyAlignment="1"/>
    <xf numFmtId="0" fontId="6" fillId="0" borderId="7" xfId="0" applyFont="1" applyBorder="1" applyAlignment="1">
      <alignment horizontal="left"/>
    </xf>
    <xf numFmtId="187" fontId="14" fillId="0" borderId="5" xfId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3" fontId="15" fillId="0" borderId="1" xfId="0" applyNumberFormat="1" applyFont="1" applyBorder="1"/>
    <xf numFmtId="0" fontId="15" fillId="0" borderId="0" xfId="0" applyFont="1"/>
    <xf numFmtId="0" fontId="15" fillId="0" borderId="1" xfId="0" applyFont="1" applyBorder="1"/>
    <xf numFmtId="0" fontId="9" fillId="0" borderId="17" xfId="0" applyFont="1" applyFill="1" applyBorder="1" applyAlignment="1">
      <alignment horizontal="left" indent="1"/>
    </xf>
    <xf numFmtId="0" fontId="9" fillId="0" borderId="18" xfId="0" applyFont="1" applyFill="1" applyBorder="1" applyAlignment="1">
      <alignment horizontal="left" wrapText="1" indent="1"/>
    </xf>
    <xf numFmtId="0" fontId="0" fillId="0" borderId="1" xfId="0" applyBorder="1"/>
    <xf numFmtId="0" fontId="15" fillId="2" borderId="1" xfId="0" applyFont="1" applyFill="1" applyBorder="1"/>
    <xf numFmtId="187" fontId="13" fillId="0" borderId="1" xfId="1" applyFont="1" applyBorder="1" applyAlignment="1"/>
    <xf numFmtId="0" fontId="10" fillId="0" borderId="0" xfId="0" applyFont="1" applyBorder="1" applyAlignment="1"/>
    <xf numFmtId="187" fontId="6" fillId="0" borderId="2" xfId="1" applyFont="1" applyBorder="1" applyAlignment="1">
      <alignment horizontal="right"/>
    </xf>
    <xf numFmtId="0" fontId="5" fillId="0" borderId="2" xfId="0" applyFont="1" applyBorder="1"/>
    <xf numFmtId="0" fontId="5" fillId="0" borderId="7" xfId="0" applyFont="1" applyBorder="1"/>
    <xf numFmtId="43" fontId="6" fillId="0" borderId="7" xfId="1" applyNumberFormat="1" applyFont="1" applyBorder="1" applyAlignment="1">
      <alignment horizontal="center"/>
    </xf>
    <xf numFmtId="43" fontId="6" fillId="0" borderId="7" xfId="1" applyNumberFormat="1" applyFont="1" applyBorder="1" applyAlignment="1">
      <alignment horizontal="center" vertical="center"/>
    </xf>
    <xf numFmtId="43" fontId="6" fillId="0" borderId="5" xfId="1" applyNumberFormat="1" applyFont="1" applyBorder="1" applyAlignment="1">
      <alignment horizontal="center"/>
    </xf>
    <xf numFmtId="43" fontId="6" fillId="0" borderId="14" xfId="1" applyNumberFormat="1" applyFont="1" applyBorder="1" applyAlignment="1">
      <alignment horizontal="center"/>
    </xf>
    <xf numFmtId="0" fontId="11" fillId="0" borderId="6" xfId="0" applyFont="1" applyBorder="1"/>
    <xf numFmtId="43" fontId="5" fillId="0" borderId="4" xfId="1" applyNumberFormat="1" applyFont="1" applyBorder="1"/>
    <xf numFmtId="43" fontId="5" fillId="0" borderId="15" xfId="1" applyNumberFormat="1" applyFont="1" applyBorder="1"/>
    <xf numFmtId="43" fontId="6" fillId="0" borderId="12" xfId="1" applyNumberFormat="1" applyFont="1" applyBorder="1" applyAlignment="1">
      <alignment horizontal="right"/>
    </xf>
    <xf numFmtId="49" fontId="6" fillId="0" borderId="4" xfId="0" applyNumberFormat="1" applyFont="1" applyBorder="1" applyAlignment="1">
      <alignment horizontal="center"/>
    </xf>
    <xf numFmtId="43" fontId="5" fillId="0" borderId="1" xfId="1" applyNumberFormat="1" applyFont="1" applyBorder="1"/>
    <xf numFmtId="43" fontId="5" fillId="0" borderId="10" xfId="1" applyNumberFormat="1" applyFont="1" applyBorder="1"/>
    <xf numFmtId="43" fontId="6" fillId="0" borderId="10" xfId="1" applyNumberFormat="1" applyFont="1" applyBorder="1" applyAlignment="1">
      <alignment horizontal="right"/>
    </xf>
    <xf numFmtId="0" fontId="5" fillId="0" borderId="6" xfId="0" applyFont="1" applyBorder="1"/>
    <xf numFmtId="43" fontId="5" fillId="2" borderId="1" xfId="1" applyNumberFormat="1" applyFont="1" applyFill="1" applyBorder="1"/>
    <xf numFmtId="187" fontId="6" fillId="0" borderId="10" xfId="1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43" fontId="5" fillId="4" borderId="1" xfId="1" applyNumberFormat="1" applyFont="1" applyFill="1" applyBorder="1"/>
    <xf numFmtId="0" fontId="6" fillId="0" borderId="6" xfId="0" applyFont="1" applyBorder="1"/>
    <xf numFmtId="43" fontId="5" fillId="2" borderId="10" xfId="1" applyNumberFormat="1" applyFont="1" applyFill="1" applyBorder="1"/>
    <xf numFmtId="0" fontId="18" fillId="0" borderId="6" xfId="0" applyFont="1" applyBorder="1"/>
    <xf numFmtId="0" fontId="16" fillId="0" borderId="6" xfId="0" applyFont="1" applyFill="1" applyBorder="1"/>
    <xf numFmtId="0" fontId="16" fillId="3" borderId="6" xfId="0" applyFont="1" applyFill="1" applyBorder="1" applyAlignment="1">
      <alignment horizontal="right"/>
    </xf>
    <xf numFmtId="0" fontId="16" fillId="6" borderId="3" xfId="0" applyFont="1" applyFill="1" applyBorder="1" applyAlignment="1">
      <alignment horizontal="right"/>
    </xf>
    <xf numFmtId="0" fontId="16" fillId="5" borderId="1" xfId="0" applyFont="1" applyFill="1" applyBorder="1" applyAlignment="1">
      <alignment horizontal="right"/>
    </xf>
    <xf numFmtId="0" fontId="16" fillId="5" borderId="1" xfId="0" applyFont="1" applyFill="1" applyBorder="1"/>
    <xf numFmtId="187" fontId="16" fillId="5" borderId="1" xfId="1" applyNumberFormat="1" applyFont="1" applyFill="1" applyBorder="1"/>
    <xf numFmtId="0" fontId="15" fillId="0" borderId="6" xfId="0" applyFont="1" applyBorder="1"/>
    <xf numFmtId="43" fontId="15" fillId="0" borderId="1" xfId="1" applyNumberFormat="1" applyFont="1" applyBorder="1"/>
    <xf numFmtId="43" fontId="15" fillId="2" borderId="1" xfId="1" applyNumberFormat="1" applyFont="1" applyFill="1" applyBorder="1"/>
    <xf numFmtId="43" fontId="15" fillId="0" borderId="10" xfId="1" applyNumberFormat="1" applyFont="1" applyBorder="1"/>
    <xf numFmtId="0" fontId="15" fillId="0" borderId="6" xfId="0" applyFont="1" applyBorder="1" applyAlignment="1">
      <alignment horizontal="right"/>
    </xf>
    <xf numFmtId="43" fontId="15" fillId="4" borderId="1" xfId="1" applyNumberFormat="1" applyFont="1" applyFill="1" applyBorder="1"/>
    <xf numFmtId="49" fontId="16" fillId="0" borderId="4" xfId="0" applyNumberFormat="1" applyFont="1" applyBorder="1" applyAlignment="1">
      <alignment horizontal="center"/>
    </xf>
    <xf numFmtId="43" fontId="15" fillId="2" borderId="10" xfId="1" applyNumberFormat="1" applyFont="1" applyFill="1" applyBorder="1"/>
    <xf numFmtId="43" fontId="15" fillId="2" borderId="1" xfId="0" applyNumberFormat="1" applyFont="1" applyFill="1" applyBorder="1"/>
    <xf numFmtId="0" fontId="16" fillId="4" borderId="6" xfId="0" applyFont="1" applyFill="1" applyBorder="1" applyAlignment="1">
      <alignment horizontal="right"/>
    </xf>
    <xf numFmtId="49" fontId="15" fillId="4" borderId="4" xfId="0" applyNumberFormat="1" applyFont="1" applyFill="1" applyBorder="1" applyAlignment="1">
      <alignment horizontal="center"/>
    </xf>
    <xf numFmtId="43" fontId="16" fillId="4" borderId="1" xfId="1" applyNumberFormat="1" applyFont="1" applyFill="1" applyBorder="1"/>
    <xf numFmtId="43" fontId="16" fillId="5" borderId="1" xfId="1" applyNumberFormat="1" applyFont="1" applyFill="1" applyBorder="1"/>
    <xf numFmtId="43" fontId="16" fillId="0" borderId="1" xfId="1" applyNumberFormat="1" applyFont="1" applyFill="1" applyBorder="1"/>
    <xf numFmtId="43" fontId="16" fillId="2" borderId="1" xfId="1" applyNumberFormat="1" applyFont="1" applyFill="1" applyBorder="1"/>
    <xf numFmtId="43" fontId="16" fillId="0" borderId="7" xfId="1" applyNumberFormat="1" applyFont="1" applyFill="1" applyBorder="1"/>
    <xf numFmtId="43" fontId="16" fillId="2" borderId="7" xfId="1" applyNumberFormat="1" applyFont="1" applyFill="1" applyBorder="1"/>
    <xf numFmtId="49" fontId="15" fillId="3" borderId="4" xfId="0" applyNumberFormat="1" applyFont="1" applyFill="1" applyBorder="1" applyAlignment="1">
      <alignment horizontal="center"/>
    </xf>
    <xf numFmtId="43" fontId="16" fillId="3" borderId="1" xfId="1" applyNumberFormat="1" applyFont="1" applyFill="1" applyBorder="1"/>
    <xf numFmtId="43" fontId="16" fillId="3" borderId="7" xfId="1" applyNumberFormat="1" applyFont="1" applyFill="1" applyBorder="1"/>
    <xf numFmtId="49" fontId="15" fillId="6" borderId="1" xfId="0" applyNumberFormat="1" applyFont="1" applyFill="1" applyBorder="1" applyAlignment="1">
      <alignment horizontal="center"/>
    </xf>
    <xf numFmtId="43" fontId="16" fillId="6" borderId="1" xfId="0" applyNumberFormat="1" applyFont="1" applyFill="1" applyBorder="1"/>
    <xf numFmtId="187" fontId="16" fillId="2" borderId="7" xfId="1" applyNumberFormat="1" applyFont="1" applyFill="1" applyBorder="1" applyAlignment="1">
      <alignment horizontal="right"/>
    </xf>
    <xf numFmtId="0" fontId="16" fillId="0" borderId="4" xfId="0" applyFont="1" applyFill="1" applyBorder="1"/>
    <xf numFmtId="187" fontId="16" fillId="2" borderId="4" xfId="1" applyNumberFormat="1" applyFont="1" applyFill="1" applyBorder="1" applyAlignment="1">
      <alignment horizontal="right"/>
    </xf>
    <xf numFmtId="0" fontId="16" fillId="4" borderId="5" xfId="0" applyFont="1" applyFill="1" applyBorder="1" applyAlignment="1">
      <alignment horizontal="right"/>
    </xf>
    <xf numFmtId="0" fontId="18" fillId="2" borderId="1" xfId="0" applyFont="1" applyFill="1" applyBorder="1" applyAlignment="1">
      <alignment horizontal="left"/>
    </xf>
    <xf numFmtId="0" fontId="16" fillId="2" borderId="1" xfId="0" applyFont="1" applyFill="1" applyBorder="1"/>
    <xf numFmtId="0" fontId="16" fillId="5" borderId="5" xfId="0" applyFont="1" applyFill="1" applyBorder="1" applyAlignment="1">
      <alignment horizontal="right"/>
    </xf>
    <xf numFmtId="187" fontId="16" fillId="2" borderId="5" xfId="1" applyNumberFormat="1" applyFont="1" applyFill="1" applyBorder="1" applyAlignment="1">
      <alignment horizontal="right"/>
    </xf>
    <xf numFmtId="0" fontId="15" fillId="0" borderId="0" xfId="0" applyFont="1" applyBorder="1" applyAlignment="1"/>
    <xf numFmtId="0" fontId="17" fillId="0" borderId="0" xfId="0" applyFont="1" applyAlignment="1"/>
    <xf numFmtId="0" fontId="15" fillId="0" borderId="0" xfId="0" applyFont="1" applyFill="1"/>
    <xf numFmtId="0" fontId="15" fillId="0" borderId="0" xfId="1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87" fontId="0" fillId="0" borderId="1" xfId="1" applyFont="1" applyBorder="1"/>
    <xf numFmtId="187" fontId="5" fillId="0" borderId="1" xfId="1" applyFont="1" applyBorder="1"/>
    <xf numFmtId="0" fontId="9" fillId="0" borderId="1" xfId="0" applyFont="1" applyBorder="1"/>
    <xf numFmtId="187" fontId="9" fillId="0" borderId="1" xfId="1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87" fontId="8" fillId="0" borderId="1" xfId="1" applyFont="1" applyBorder="1"/>
    <xf numFmtId="187" fontId="0" fillId="0" borderId="0" xfId="0" applyNumberFormat="1"/>
    <xf numFmtId="187" fontId="6" fillId="0" borderId="1" xfId="0" applyNumberFormat="1" applyFont="1" applyBorder="1"/>
    <xf numFmtId="0" fontId="9" fillId="0" borderId="5" xfId="0" applyFont="1" applyBorder="1"/>
    <xf numFmtId="187" fontId="9" fillId="0" borderId="5" xfId="1" applyFont="1" applyBorder="1"/>
    <xf numFmtId="187" fontId="8" fillId="0" borderId="5" xfId="1" applyFont="1" applyBorder="1"/>
    <xf numFmtId="187" fontId="6" fillId="0" borderId="20" xfId="1" applyFont="1" applyBorder="1"/>
    <xf numFmtId="187" fontId="13" fillId="0" borderId="7" xfId="1" applyFont="1" applyBorder="1" applyAlignment="1">
      <alignment horizontal="center" vertical="center"/>
    </xf>
    <xf numFmtId="187" fontId="13" fillId="0" borderId="4" xfId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/>
    <xf numFmtId="0" fontId="0" fillId="0" borderId="7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43" fontId="0" fillId="0" borderId="1" xfId="1" applyNumberFormat="1" applyFont="1" applyBorder="1"/>
    <xf numFmtId="43" fontId="5" fillId="0" borderId="5" xfId="1" applyNumberFormat="1" applyFont="1" applyBorder="1"/>
    <xf numFmtId="43" fontId="5" fillId="2" borderId="5" xfId="1" applyNumberFormat="1" applyFont="1" applyFill="1" applyBorder="1"/>
    <xf numFmtId="43" fontId="15" fillId="0" borderId="7" xfId="1" applyNumberFormat="1" applyFont="1" applyBorder="1"/>
    <xf numFmtId="43" fontId="15" fillId="2" borderId="7" xfId="1" applyNumberFormat="1" applyFont="1" applyFill="1" applyBorder="1"/>
    <xf numFmtId="0" fontId="18" fillId="0" borderId="0" xfId="0" applyFont="1"/>
    <xf numFmtId="0" fontId="15" fillId="0" borderId="0" xfId="0" applyFont="1" applyAlignment="1">
      <alignment horizontal="right"/>
    </xf>
    <xf numFmtId="0" fontId="15" fillId="0" borderId="13" xfId="0" applyFont="1" applyBorder="1"/>
    <xf numFmtId="43" fontId="15" fillId="2" borderId="14" xfId="1" applyNumberFormat="1" applyFont="1" applyFill="1" applyBorder="1"/>
    <xf numFmtId="43" fontId="15" fillId="0" borderId="14" xfId="1" applyNumberFormat="1" applyFont="1" applyBorder="1"/>
    <xf numFmtId="0" fontId="6" fillId="0" borderId="7" xfId="0" applyFont="1" applyFill="1" applyBorder="1"/>
    <xf numFmtId="0" fontId="15" fillId="2" borderId="7" xfId="0" applyFont="1" applyFill="1" applyBorder="1"/>
    <xf numFmtId="0" fontId="6" fillId="0" borderId="4" xfId="0" applyFont="1" applyFill="1" applyBorder="1"/>
    <xf numFmtId="0" fontId="15" fillId="2" borderId="4" xfId="0" applyFont="1" applyFill="1" applyBorder="1"/>
    <xf numFmtId="0" fontId="10" fillId="0" borderId="4" xfId="0" applyFont="1" applyFill="1" applyBorder="1"/>
    <xf numFmtId="0" fontId="15" fillId="2" borderId="6" xfId="0" applyFont="1" applyFill="1" applyBorder="1"/>
    <xf numFmtId="0" fontId="16" fillId="4" borderId="5" xfId="0" applyFont="1" applyFill="1" applyBorder="1"/>
    <xf numFmtId="0" fontId="16" fillId="2" borderId="5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187" fontId="13" fillId="0" borderId="7" xfId="1" applyFont="1" applyBorder="1" applyAlignment="1">
      <alignment horizontal="center" vertical="center"/>
    </xf>
    <xf numFmtId="187" fontId="13" fillId="0" borderId="4" xfId="1" applyFont="1" applyBorder="1" applyAlignment="1">
      <alignment horizontal="center" vertical="center"/>
    </xf>
    <xf numFmtId="187" fontId="13" fillId="0" borderId="5" xfId="1" applyFont="1" applyBorder="1" applyAlignment="1">
      <alignment horizontal="center" vertical="center"/>
    </xf>
    <xf numFmtId="187" fontId="12" fillId="0" borderId="25" xfId="1" applyFont="1" applyBorder="1" applyAlignment="1"/>
    <xf numFmtId="187" fontId="12" fillId="0" borderId="24" xfId="1" applyFont="1" applyBorder="1" applyAlignment="1"/>
    <xf numFmtId="187" fontId="12" fillId="0" borderId="12" xfId="1" applyFont="1" applyBorder="1" applyAlignment="1"/>
    <xf numFmtId="187" fontId="6" fillId="0" borderId="6" xfId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2" fillId="0" borderId="1" xfId="0" applyFont="1" applyBorder="1"/>
    <xf numFmtId="187" fontId="12" fillId="0" borderId="15" xfId="1" applyFont="1" applyBorder="1" applyAlignment="1"/>
    <xf numFmtId="0" fontId="5" fillId="0" borderId="18" xfId="0" applyFont="1" applyBorder="1" applyAlignment="1"/>
    <xf numFmtId="0" fontId="5" fillId="0" borderId="26" xfId="0" applyFont="1" applyBorder="1" applyAlignment="1"/>
    <xf numFmtId="0" fontId="5" fillId="0" borderId="27" xfId="0" applyFont="1" applyBorder="1" applyAlignment="1"/>
    <xf numFmtId="187" fontId="5" fillId="0" borderId="28" xfId="1" applyFont="1" applyBorder="1" applyAlignment="1"/>
    <xf numFmtId="0" fontId="5" fillId="0" borderId="17" xfId="0" applyFont="1" applyBorder="1" applyAlignment="1"/>
    <xf numFmtId="187" fontId="5" fillId="0" borderId="19" xfId="1" applyFont="1" applyBorder="1" applyAlignment="1"/>
    <xf numFmtId="187" fontId="12" fillId="0" borderId="32" xfId="1" applyFont="1" applyBorder="1" applyAlignment="1"/>
    <xf numFmtId="187" fontId="13" fillId="0" borderId="4" xfId="1" applyFont="1" applyBorder="1" applyAlignment="1">
      <alignment horizontal="center"/>
    </xf>
    <xf numFmtId="187" fontId="13" fillId="0" borderId="4" xfId="1" applyFont="1" applyBorder="1" applyAlignment="1">
      <alignment horizontal="center" vertical="center"/>
    </xf>
    <xf numFmtId="49" fontId="0" fillId="0" borderId="0" xfId="0" applyNumberFormat="1"/>
    <xf numFmtId="187" fontId="13" fillId="0" borderId="4" xfId="1" applyFont="1" applyBorder="1" applyAlignment="1"/>
    <xf numFmtId="187" fontId="12" fillId="0" borderId="2" xfId="1" applyFont="1" applyBorder="1" applyAlignment="1"/>
    <xf numFmtId="187" fontId="12" fillId="0" borderId="14" xfId="1" applyFont="1" applyBorder="1" applyAlignment="1"/>
    <xf numFmtId="187" fontId="10" fillId="0" borderId="7" xfId="1" applyFont="1" applyBorder="1" applyAlignment="1">
      <alignment horizontal="center" wrapText="1"/>
    </xf>
    <xf numFmtId="0" fontId="9" fillId="0" borderId="0" xfId="0" applyFont="1" applyAlignment="1"/>
    <xf numFmtId="187" fontId="10" fillId="0" borderId="7" xfId="1" applyFont="1" applyBorder="1" applyAlignment="1">
      <alignment horizontal="center" vertical="center"/>
    </xf>
    <xf numFmtId="187" fontId="10" fillId="0" borderId="4" xfId="1" applyFont="1" applyBorder="1" applyAlignment="1">
      <alignment horizontal="center"/>
    </xf>
    <xf numFmtId="49" fontId="10" fillId="0" borderId="4" xfId="1" applyNumberFormat="1" applyFont="1" applyBorder="1" applyAlignment="1">
      <alignment horizontal="center" vertical="center"/>
    </xf>
    <xf numFmtId="187" fontId="10" fillId="0" borderId="5" xfId="1" applyFont="1" applyBorder="1" applyAlignment="1">
      <alignment horizontal="center"/>
    </xf>
    <xf numFmtId="187" fontId="9" fillId="0" borderId="5" xfId="1" applyFont="1" applyBorder="1" applyAlignment="1"/>
    <xf numFmtId="187" fontId="16" fillId="0" borderId="6" xfId="1" applyFont="1" applyBorder="1" applyAlignment="1">
      <alignment horizontal="left"/>
    </xf>
    <xf numFmtId="0" fontId="12" fillId="0" borderId="11" xfId="0" applyFont="1" applyBorder="1" applyAlignment="1"/>
    <xf numFmtId="0" fontId="12" fillId="0" borderId="13" xfId="0" applyFont="1" applyBorder="1" applyAlignment="1"/>
    <xf numFmtId="187" fontId="10" fillId="0" borderId="1" xfId="1" applyFont="1" applyBorder="1"/>
    <xf numFmtId="43" fontId="5" fillId="5" borderId="1" xfId="1" applyNumberFormat="1" applyFont="1" applyFill="1" applyBorder="1"/>
    <xf numFmtId="187" fontId="6" fillId="5" borderId="10" xfId="1" applyNumberFormat="1" applyFont="1" applyFill="1" applyBorder="1" applyAlignment="1">
      <alignment horizontal="right"/>
    </xf>
    <xf numFmtId="187" fontId="10" fillId="0" borderId="7" xfId="1" applyFont="1" applyBorder="1" applyAlignment="1">
      <alignment horizontal="center" vertical="center"/>
    </xf>
    <xf numFmtId="187" fontId="10" fillId="0" borderId="4" xfId="1" applyFont="1" applyBorder="1" applyAlignment="1">
      <alignment horizontal="center" vertical="center"/>
    </xf>
    <xf numFmtId="187" fontId="10" fillId="0" borderId="5" xfId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" fillId="0" borderId="17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6" fillId="0" borderId="3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21" fillId="0" borderId="0" xfId="0" applyFont="1" applyAlignment="1">
      <alignment horizontal="left"/>
    </xf>
    <xf numFmtId="187" fontId="13" fillId="0" borderId="7" xfId="1" applyFont="1" applyBorder="1" applyAlignment="1">
      <alignment horizontal="center" vertical="center"/>
    </xf>
    <xf numFmtId="187" fontId="13" fillId="0" borderId="4" xfId="1" applyFont="1" applyBorder="1" applyAlignment="1">
      <alignment horizontal="center" vertical="center"/>
    </xf>
    <xf numFmtId="187" fontId="13" fillId="0" borderId="5" xfId="1" applyFont="1" applyBorder="1" applyAlignment="1">
      <alignment horizontal="center" vertical="center"/>
    </xf>
    <xf numFmtId="187" fontId="13" fillId="0" borderId="7" xfId="1" applyFont="1" applyBorder="1" applyAlignment="1">
      <alignment horizontal="center" vertical="center" wrapText="1"/>
    </xf>
    <xf numFmtId="187" fontId="13" fillId="0" borderId="4" xfId="1" applyFont="1" applyBorder="1" applyAlignment="1">
      <alignment horizontal="center" vertical="center" wrapText="1"/>
    </xf>
    <xf numFmtId="187" fontId="13" fillId="0" borderId="5" xfId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3" fontId="6" fillId="0" borderId="0" xfId="1" applyNumberFormat="1" applyFont="1" applyAlignment="1">
      <alignment horizontal="center"/>
    </xf>
    <xf numFmtId="43" fontId="6" fillId="0" borderId="0" xfId="1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7">
    <cellStyle name="Comma 2" xfId="2"/>
    <cellStyle name="เครื่องหมายจุลภาค" xfId="1" builtinId="3"/>
    <cellStyle name="เครื่องหมายจุลภาค 2" xfId="4"/>
    <cellStyle name="เครื่องหมายจุลภาค 6" xfId="3"/>
    <cellStyle name="ปกติ" xfId="0" builtinId="0"/>
    <cellStyle name="ปกติ 2" xfId="6"/>
    <cellStyle name="ปกติ 4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3591;&#3610;&#3585;&#3634;&#3619;&#3648;&#3591;&#3636;&#3609;58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บช.5"/>
      <sheetName val="บช.6"/>
      <sheetName val="งบดุล"/>
      <sheetName val="1"/>
      <sheetName val="1.1"/>
      <sheetName val="2"/>
      <sheetName val="3"/>
      <sheetName val="4"/>
      <sheetName val="5"/>
      <sheetName val="6"/>
      <sheetName val="6.1"/>
      <sheetName val="7.2 แสดงผล"/>
      <sheetName val="ครุภัณฑ์ + ที่ดิน"/>
      <sheetName val="Sheet2"/>
      <sheetName val="Sheet1"/>
      <sheetName val="Sheet4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E1">
            <v>0</v>
          </cell>
        </row>
        <row r="2">
          <cell r="A2" t="str">
            <v>เทศบาลตำบลบ้านค้อ  อำเภอเมืองขอนแก่น  จังหวัดขอนแก่น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view="pageBreakPreview" topLeftCell="A33" zoomScaleNormal="120" zoomScaleSheetLayoutView="100" workbookViewId="0">
      <selection activeCell="J49" sqref="J49"/>
    </sheetView>
  </sheetViews>
  <sheetFormatPr defaultRowHeight="18.75"/>
  <cols>
    <col min="1" max="1" width="18.7109375" style="4" customWidth="1"/>
    <col min="2" max="2" width="13.7109375" style="5" customWidth="1"/>
    <col min="3" max="3" width="11.28515625" style="5" customWidth="1"/>
    <col min="4" max="4" width="10.85546875" style="5" customWidth="1"/>
    <col min="5" max="5" width="13.85546875" style="5" customWidth="1"/>
    <col min="6" max="6" width="12.85546875" style="5" customWidth="1"/>
    <col min="7" max="7" width="16.42578125" style="5" customWidth="1"/>
    <col min="8" max="8" width="0.140625" style="5" hidden="1" customWidth="1"/>
    <col min="9" max="9" width="14.7109375" style="5" customWidth="1"/>
    <col min="10" max="10" width="12.85546875" style="5" customWidth="1"/>
    <col min="11" max="11" width="12" style="5" customWidth="1"/>
    <col min="12" max="12" width="11.5703125" style="5" customWidth="1"/>
    <col min="13" max="13" width="12" style="5" customWidth="1"/>
    <col min="14" max="14" width="11.7109375" style="5" customWidth="1"/>
    <col min="15" max="15" width="11.5703125" style="5" customWidth="1"/>
    <col min="16" max="16" width="13.28515625" style="5" customWidth="1"/>
    <col min="17" max="17" width="11.5703125" style="5" customWidth="1"/>
    <col min="18" max="18" width="11.85546875" style="5" customWidth="1"/>
    <col min="19" max="19" width="10.7109375" style="5" customWidth="1"/>
    <col min="20" max="20" width="12.140625" style="5" customWidth="1"/>
    <col min="21" max="16384" width="9.140625" style="4"/>
  </cols>
  <sheetData>
    <row r="1" spans="1:20" s="10" customFormat="1" ht="2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8"/>
    </row>
    <row r="2" spans="1:20" s="10" customFormat="1" ht="21">
      <c r="A2" s="207" t="str">
        <f>'[1]6'!A2:H2</f>
        <v>เทศบาลตำบลบ้านค้อ  อำเภอเมืองขอนแก่น  จังหวัดขอนแก่น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1:20" s="10" customFormat="1" ht="21">
      <c r="A3" s="207" t="s">
        <v>162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</row>
    <row r="4" spans="1:20" s="10" customFormat="1" ht="21">
      <c r="A4" s="208" t="s">
        <v>177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</row>
    <row r="5" spans="1:20" s="10" customFormat="1" ht="2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41" t="s">
        <v>1</v>
      </c>
    </row>
    <row r="6" spans="1:20" s="16" customFormat="1" ht="21" customHeight="1">
      <c r="A6" s="209" t="s">
        <v>2</v>
      </c>
      <c r="B6" s="198" t="s">
        <v>180</v>
      </c>
      <c r="C6" s="148"/>
      <c r="D6" s="148"/>
      <c r="E6" s="198" t="s">
        <v>3</v>
      </c>
      <c r="F6" s="14" t="s">
        <v>42</v>
      </c>
      <c r="G6" s="14" t="s">
        <v>42</v>
      </c>
      <c r="H6" s="120"/>
      <c r="I6" s="198" t="s">
        <v>0</v>
      </c>
      <c r="J6" s="201" t="s">
        <v>39</v>
      </c>
      <c r="K6" s="201" t="s">
        <v>38</v>
      </c>
      <c r="L6" s="201" t="s">
        <v>18</v>
      </c>
      <c r="M6" s="15"/>
      <c r="N6" s="198" t="s">
        <v>4</v>
      </c>
      <c r="O6" s="201" t="s">
        <v>34</v>
      </c>
      <c r="P6" s="204" t="s">
        <v>35</v>
      </c>
      <c r="Q6" s="204" t="s">
        <v>33</v>
      </c>
      <c r="R6" s="201" t="s">
        <v>22</v>
      </c>
      <c r="S6" s="14" t="s">
        <v>5</v>
      </c>
      <c r="T6" s="198" t="s">
        <v>6</v>
      </c>
    </row>
    <row r="7" spans="1:20" s="16" customFormat="1" ht="21" customHeight="1">
      <c r="A7" s="210"/>
      <c r="B7" s="199"/>
      <c r="C7" s="149" t="s">
        <v>178</v>
      </c>
      <c r="D7" s="149" t="s">
        <v>179</v>
      </c>
      <c r="E7" s="199"/>
      <c r="F7" s="17" t="s">
        <v>43</v>
      </c>
      <c r="G7" s="17" t="s">
        <v>44</v>
      </c>
      <c r="H7" s="121"/>
      <c r="I7" s="199"/>
      <c r="J7" s="202"/>
      <c r="K7" s="202"/>
      <c r="L7" s="202"/>
      <c r="M7" s="17" t="s">
        <v>23</v>
      </c>
      <c r="N7" s="199"/>
      <c r="O7" s="202"/>
      <c r="P7" s="205"/>
      <c r="Q7" s="205"/>
      <c r="R7" s="202"/>
      <c r="S7" s="17" t="s">
        <v>15</v>
      </c>
      <c r="T7" s="199"/>
    </row>
    <row r="8" spans="1:20" s="16" customFormat="1" ht="21" customHeight="1">
      <c r="A8" s="211"/>
      <c r="B8" s="200"/>
      <c r="C8" s="150"/>
      <c r="D8" s="150"/>
      <c r="E8" s="200"/>
      <c r="F8" s="18"/>
      <c r="G8" s="29" t="s">
        <v>45</v>
      </c>
      <c r="H8" s="29"/>
      <c r="I8" s="200"/>
      <c r="J8" s="203"/>
      <c r="K8" s="203"/>
      <c r="L8" s="203"/>
      <c r="M8" s="18"/>
      <c r="N8" s="200"/>
      <c r="O8" s="203"/>
      <c r="P8" s="206"/>
      <c r="Q8" s="206"/>
      <c r="R8" s="203"/>
      <c r="S8" s="18" t="s">
        <v>16</v>
      </c>
      <c r="T8" s="200"/>
    </row>
    <row r="9" spans="1:20" s="20" customFormat="1" ht="21" customHeight="1">
      <c r="A9" s="28" t="s">
        <v>19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s="20" customFormat="1" ht="21" customHeight="1">
      <c r="A10" s="35" t="s">
        <v>6</v>
      </c>
      <c r="B10" s="26">
        <v>4702570</v>
      </c>
      <c r="C10" s="26">
        <f>5050</f>
        <v>5050</v>
      </c>
      <c r="D10" s="26"/>
      <c r="E10" s="26">
        <f>B10+C10-D10</f>
        <v>4707620</v>
      </c>
      <c r="F10" s="26">
        <f>1078583.7</f>
        <v>1078583.7</v>
      </c>
      <c r="G10" s="26">
        <v>4858496.3499999996</v>
      </c>
      <c r="H10" s="26"/>
      <c r="I10" s="26">
        <f>SUM(J10:T10)</f>
        <v>5937080.0499999998</v>
      </c>
      <c r="J10" s="26"/>
      <c r="K10" s="27"/>
      <c r="L10" s="26"/>
      <c r="M10" s="26"/>
      <c r="N10" s="26"/>
      <c r="O10" s="26"/>
      <c r="P10" s="26"/>
      <c r="Q10" s="26"/>
      <c r="R10" s="26"/>
      <c r="S10" s="26"/>
      <c r="T10" s="26">
        <f>1624266.45+1615216.45+1619013.45+81265.23+83045.27+914273.2</f>
        <v>5937080.0499999998</v>
      </c>
    </row>
    <row r="11" spans="1:20" s="20" customFormat="1" ht="21" customHeight="1">
      <c r="A11" s="35" t="s">
        <v>40</v>
      </c>
      <c r="B11" s="26">
        <v>2848320</v>
      </c>
      <c r="C11" s="26"/>
      <c r="D11" s="26"/>
      <c r="E11" s="26">
        <f t="shared" ref="E11:E22" si="0">B11+C11-D11</f>
        <v>2848320</v>
      </c>
      <c r="F11" s="26">
        <v>681840</v>
      </c>
      <c r="G11" s="26"/>
      <c r="H11" s="26"/>
      <c r="I11" s="26">
        <f t="shared" ref="I11:I22" si="1">SUM(J11:T11)</f>
        <v>681840</v>
      </c>
      <c r="J11" s="26">
        <f>90480+136800+107760+119520+107760+119520</f>
        <v>681840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s="20" customFormat="1" ht="21" customHeight="1">
      <c r="A12" s="35" t="s">
        <v>41</v>
      </c>
      <c r="B12" s="26">
        <f>3997000+56000+310800+2006400+5000+134400+173000+18000+2100000+50000+134400+1022950+36000+42000+292000+2628230+36000+134400+1149000+42000</f>
        <v>14367580</v>
      </c>
      <c r="C12" s="26"/>
      <c r="D12" s="26">
        <f>5000+30000+50000</f>
        <v>85000</v>
      </c>
      <c r="E12" s="26">
        <f t="shared" si="0"/>
        <v>14282580</v>
      </c>
      <c r="F12" s="26">
        <v>2373692</v>
      </c>
      <c r="G12" s="26">
        <v>249700</v>
      </c>
      <c r="H12" s="26"/>
      <c r="I12" s="26">
        <f t="shared" si="1"/>
        <v>2623392</v>
      </c>
      <c r="J12" s="26">
        <f>301280+875+25900+297540+875+25900+298810+875+25900</f>
        <v>977955</v>
      </c>
      <c r="K12" s="26">
        <f>140410+11200+140410+11200+140410+11200</f>
        <v>454830</v>
      </c>
      <c r="L12" s="26">
        <f>12890+395+12890+395+16677</f>
        <v>43247</v>
      </c>
      <c r="M12" s="26">
        <f>21620+21620+21620+54410+56410+56410</f>
        <v>232090</v>
      </c>
      <c r="N12" s="26">
        <f>76590+3500+76590+3500+76590+3500</f>
        <v>240270</v>
      </c>
      <c r="O12" s="26">
        <f>22040+22040+22040</f>
        <v>66120</v>
      </c>
      <c r="P12" s="26">
        <f>122610+11200+122610+11200+122610+11200+27490+27490+27490</f>
        <v>483900</v>
      </c>
      <c r="Q12" s="26">
        <f>41660+41660+41660</f>
        <v>124980</v>
      </c>
      <c r="R12" s="26"/>
      <c r="S12" s="26"/>
      <c r="T12" s="26"/>
    </row>
    <row r="13" spans="1:20" s="20" customFormat="1" ht="21" customHeight="1">
      <c r="A13" s="35" t="s">
        <v>37</v>
      </c>
      <c r="B13" s="26">
        <f>225400+63480+219700+5000</f>
        <v>513580</v>
      </c>
      <c r="C13" s="26"/>
      <c r="D13" s="26"/>
      <c r="E13" s="26">
        <f t="shared" si="0"/>
        <v>513580</v>
      </c>
      <c r="F13" s="26">
        <v>100830</v>
      </c>
      <c r="G13" s="26"/>
      <c r="H13" s="26"/>
      <c r="I13" s="26">
        <f t="shared" si="1"/>
        <v>100830</v>
      </c>
      <c r="J13" s="26">
        <f>16650+16650+16650</f>
        <v>49950</v>
      </c>
      <c r="K13" s="26">
        <f>16960+16960+16960</f>
        <v>50880</v>
      </c>
      <c r="M13" s="26"/>
      <c r="N13" s="26"/>
      <c r="O13" s="26"/>
      <c r="P13" s="26"/>
      <c r="Q13" s="26"/>
      <c r="R13" s="26"/>
      <c r="S13" s="26"/>
      <c r="T13" s="26"/>
    </row>
    <row r="14" spans="1:20" s="20" customFormat="1" ht="21" customHeight="1">
      <c r="A14" s="35" t="s">
        <v>24</v>
      </c>
      <c r="B14" s="26">
        <f>1445600+206880+523600+72000+981000+220000+1150000+170000+1249580+239520+186000+50000+852510+144000+260000+18000</f>
        <v>7768690</v>
      </c>
      <c r="C14" s="26"/>
      <c r="D14" s="26"/>
      <c r="E14" s="26">
        <f t="shared" si="0"/>
        <v>7768690</v>
      </c>
      <c r="F14" s="26">
        <v>1419864</v>
      </c>
      <c r="G14" s="26">
        <v>67400</v>
      </c>
      <c r="H14" s="26"/>
      <c r="I14" s="26">
        <f t="shared" si="1"/>
        <v>1487264</v>
      </c>
      <c r="J14" s="26">
        <f>121040+10835+126320+10335+145030+10335</f>
        <v>423895</v>
      </c>
      <c r="K14" s="26">
        <f>35490+4000+37590+4000+46540+4000</f>
        <v>131620</v>
      </c>
      <c r="L14" s="26">
        <f>72690+9000+72690+9000+72690+9000</f>
        <v>245070</v>
      </c>
      <c r="M14" s="26">
        <f>20860+4000+20420+5920+31564+5920+21800+22800+22800</f>
        <v>156084</v>
      </c>
      <c r="N14" s="26">
        <f>51950+9835+55130+9375+67390+9375</f>
        <v>203055</v>
      </c>
      <c r="O14" s="26">
        <f>15750+17160+22380</f>
        <v>55290</v>
      </c>
      <c r="P14" s="26">
        <f>50740+10000+53280+10000+64310+10000</f>
        <v>198330</v>
      </c>
      <c r="Q14" s="26">
        <f>19900+3000+20580+3000+24440+3000</f>
        <v>73920</v>
      </c>
      <c r="R14" s="26"/>
      <c r="S14" s="26"/>
      <c r="T14" s="26"/>
    </row>
    <row r="15" spans="1:20" s="20" customFormat="1" ht="21" customHeight="1">
      <c r="A15" s="35" t="s">
        <v>27</v>
      </c>
      <c r="B15" s="26">
        <v>2216600</v>
      </c>
      <c r="C15" s="26"/>
      <c r="D15" s="26"/>
      <c r="E15" s="26">
        <f t="shared" si="0"/>
        <v>2216600</v>
      </c>
      <c r="F15" s="26">
        <v>226400</v>
      </c>
      <c r="G15" s="26">
        <v>3740</v>
      </c>
      <c r="H15" s="26"/>
      <c r="I15" s="26">
        <f t="shared" si="1"/>
        <v>230140</v>
      </c>
      <c r="J15" s="26">
        <f>26790+25950+44850</f>
        <v>97590</v>
      </c>
      <c r="K15" s="26">
        <f>11400+39500+12000</f>
        <v>62900</v>
      </c>
      <c r="L15" s="26"/>
      <c r="M15" s="26">
        <f>3000+3000+3000</f>
        <v>9000</v>
      </c>
      <c r="N15" s="26">
        <f>6000+6720+6000</f>
        <v>18720</v>
      </c>
      <c r="O15" s="26"/>
      <c r="P15" s="26">
        <f>12990+7950+8250+3740</f>
        <v>32930</v>
      </c>
      <c r="Q15" s="26">
        <f>3000+3000+3000</f>
        <v>9000</v>
      </c>
      <c r="R15" s="26"/>
      <c r="S15" s="26"/>
      <c r="T15" s="26"/>
    </row>
    <row r="16" spans="1:20" s="20" customFormat="1" ht="21" customHeight="1">
      <c r="A16" s="35" t="s">
        <v>7</v>
      </c>
      <c r="B16" s="26">
        <v>12336800</v>
      </c>
      <c r="C16" s="26">
        <f>30000+100000</f>
        <v>130000</v>
      </c>
      <c r="D16" s="26">
        <f>35050+50000</f>
        <v>85050</v>
      </c>
      <c r="E16" s="26">
        <f t="shared" si="0"/>
        <v>12381750</v>
      </c>
      <c r="F16" s="26">
        <v>2012637.98</v>
      </c>
      <c r="G16" s="26"/>
      <c r="H16" s="26"/>
      <c r="I16" s="26">
        <f t="shared" si="1"/>
        <v>2012637.9800000002</v>
      </c>
      <c r="J16" s="26">
        <f>8612+92460.57+30208</f>
        <v>131280.57</v>
      </c>
      <c r="K16" s="26">
        <f>14930.07+25523.6</f>
        <v>40453.67</v>
      </c>
      <c r="L16" s="26"/>
      <c r="M16" s="26">
        <f>9800+72000+72900+62399+447040+97891.48</f>
        <v>762030.48</v>
      </c>
      <c r="N16" s="26">
        <f>110059.83+85200</f>
        <v>195259.83000000002</v>
      </c>
      <c r="O16" s="26"/>
      <c r="P16" s="26">
        <f>6866.73+633542</f>
        <v>640408.73</v>
      </c>
      <c r="Q16" s="26">
        <f>1476.6</f>
        <v>1476.6</v>
      </c>
      <c r="R16" s="26">
        <f>146714.1+95014</f>
        <v>241728.1</v>
      </c>
      <c r="S16" s="26"/>
      <c r="T16" s="26"/>
    </row>
    <row r="17" spans="1:20" s="20" customFormat="1" ht="21" customHeight="1">
      <c r="A17" s="35" t="s">
        <v>8</v>
      </c>
      <c r="B17" s="26">
        <v>6438060</v>
      </c>
      <c r="C17" s="26">
        <f>30000</f>
        <v>30000</v>
      </c>
      <c r="D17" s="26"/>
      <c r="E17" s="26">
        <f t="shared" si="0"/>
        <v>6468060</v>
      </c>
      <c r="F17" s="26">
        <v>809999.26</v>
      </c>
      <c r="G17" s="26"/>
      <c r="H17" s="26"/>
      <c r="I17" s="26">
        <f t="shared" si="1"/>
        <v>809999.26</v>
      </c>
      <c r="J17" s="26">
        <f>34290+201475</f>
        <v>235765</v>
      </c>
      <c r="K17" s="26">
        <f>26390+125932</f>
        <v>152322</v>
      </c>
      <c r="L17" s="26"/>
      <c r="M17" s="26">
        <f>1000+48658+179385.26</f>
        <v>229043.26</v>
      </c>
      <c r="N17" s="26">
        <f>29600+25629</f>
        <v>55229</v>
      </c>
      <c r="O17" s="26"/>
      <c r="P17" s="26">
        <f>7000+113780</f>
        <v>120780</v>
      </c>
      <c r="Q17" s="26">
        <v>16860</v>
      </c>
      <c r="R17" s="26"/>
      <c r="S17" s="26"/>
      <c r="T17" s="26"/>
    </row>
    <row r="18" spans="1:20" s="20" customFormat="1" ht="21" customHeight="1">
      <c r="A18" s="35" t="s">
        <v>28</v>
      </c>
      <c r="B18" s="26">
        <v>1055000</v>
      </c>
      <c r="C18" s="26">
        <v>5000</v>
      </c>
      <c r="D18" s="26"/>
      <c r="E18" s="26">
        <f t="shared" si="0"/>
        <v>1060000</v>
      </c>
      <c r="F18" s="26">
        <v>209396.26</v>
      </c>
      <c r="G18" s="26"/>
      <c r="H18" s="26"/>
      <c r="I18" s="26">
        <f t="shared" si="1"/>
        <v>209396.25999999998</v>
      </c>
      <c r="J18" s="26">
        <f>61410.58+72199.9+71291.78</f>
        <v>204902.25999999998</v>
      </c>
      <c r="K18" s="26">
        <f>1700+2574</f>
        <v>4274</v>
      </c>
      <c r="L18" s="26"/>
      <c r="M18" s="26">
        <v>220</v>
      </c>
      <c r="N18" s="26"/>
      <c r="O18" s="26"/>
      <c r="P18" s="26"/>
      <c r="Q18" s="26"/>
      <c r="R18" s="26"/>
      <c r="S18" s="26"/>
      <c r="T18" s="26"/>
    </row>
    <row r="19" spans="1:20" s="20" customFormat="1" ht="21" customHeight="1">
      <c r="A19" s="35" t="s">
        <v>29</v>
      </c>
      <c r="B19" s="26">
        <v>6355000</v>
      </c>
      <c r="C19" s="26"/>
      <c r="D19" s="26"/>
      <c r="E19" s="26">
        <f t="shared" si="0"/>
        <v>6355000</v>
      </c>
      <c r="F19" s="26">
        <v>10000</v>
      </c>
      <c r="G19" s="26"/>
      <c r="H19" s="26"/>
      <c r="I19" s="26">
        <f t="shared" si="1"/>
        <v>10000</v>
      </c>
      <c r="J19" s="26"/>
      <c r="K19" s="26"/>
      <c r="L19" s="26"/>
      <c r="M19" s="26"/>
      <c r="N19" s="26"/>
      <c r="O19" s="26">
        <f>10000</f>
        <v>10000</v>
      </c>
      <c r="P19" s="26"/>
      <c r="Q19" s="26"/>
      <c r="R19" s="26"/>
      <c r="S19" s="26"/>
      <c r="T19" s="26"/>
    </row>
    <row r="20" spans="1:20" s="20" customFormat="1" ht="21" customHeight="1">
      <c r="A20" s="35" t="s">
        <v>36</v>
      </c>
      <c r="B20" s="26">
        <v>0</v>
      </c>
      <c r="C20" s="26"/>
      <c r="D20" s="26"/>
      <c r="E20" s="26">
        <f t="shared" si="0"/>
        <v>0</v>
      </c>
      <c r="F20" s="26"/>
      <c r="G20" s="26"/>
      <c r="H20" s="26"/>
      <c r="I20" s="26">
        <f t="shared" si="1"/>
        <v>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s="20" customFormat="1" ht="21" customHeight="1">
      <c r="A21" s="35" t="s">
        <v>47</v>
      </c>
      <c r="B21" s="26">
        <v>677800</v>
      </c>
      <c r="C21" s="26"/>
      <c r="D21" s="26"/>
      <c r="E21" s="26">
        <f t="shared" si="0"/>
        <v>677800</v>
      </c>
      <c r="F21" s="26"/>
      <c r="G21" s="26"/>
      <c r="H21" s="26"/>
      <c r="I21" s="26">
        <f t="shared" si="1"/>
        <v>0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s="20" customFormat="1" ht="38.25" customHeight="1">
      <c r="A22" s="36" t="s">
        <v>48</v>
      </c>
      <c r="B22" s="21">
        <v>9120000</v>
      </c>
      <c r="C22" s="21"/>
      <c r="D22" s="21"/>
      <c r="E22" s="151">
        <f t="shared" si="0"/>
        <v>9120000</v>
      </c>
      <c r="F22" s="21"/>
      <c r="G22" s="21"/>
      <c r="H22" s="21"/>
      <c r="I22" s="21">
        <f t="shared" si="1"/>
        <v>0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s="20" customFormat="1" ht="23.25" customHeight="1">
      <c r="A23" s="9" t="s">
        <v>9</v>
      </c>
      <c r="B23" s="39">
        <f>SUM(B10:B22)</f>
        <v>68400000</v>
      </c>
      <c r="C23" s="39">
        <f t="shared" ref="C23:D23" si="2">SUM(C10:C22)</f>
        <v>170050</v>
      </c>
      <c r="D23" s="39">
        <f t="shared" si="2"/>
        <v>170050</v>
      </c>
      <c r="E23" s="39">
        <f>B23+C23-D23</f>
        <v>68400000</v>
      </c>
      <c r="F23" s="39">
        <f t="shared" ref="F23" si="3">SUM(F10:F22)</f>
        <v>8923243.1999999993</v>
      </c>
      <c r="G23" s="39">
        <f>SUM(G10:G22)</f>
        <v>5179336.3499999996</v>
      </c>
      <c r="H23" s="39"/>
      <c r="I23" s="39">
        <f>SUM(I10:I22)</f>
        <v>14102579.550000001</v>
      </c>
      <c r="J23" s="39">
        <f>SUM(J10:J22)</f>
        <v>2803177.8299999996</v>
      </c>
      <c r="K23" s="39">
        <f t="shared" ref="K23:T23" si="4">SUM(K10:K22)</f>
        <v>897279.67</v>
      </c>
      <c r="L23" s="39">
        <f t="shared" si="4"/>
        <v>288317</v>
      </c>
      <c r="M23" s="39">
        <f t="shared" si="4"/>
        <v>1388467.74</v>
      </c>
      <c r="N23" s="39">
        <f t="shared" si="4"/>
        <v>712533.83000000007</v>
      </c>
      <c r="O23" s="39">
        <f t="shared" si="4"/>
        <v>131410</v>
      </c>
      <c r="P23" s="39">
        <f t="shared" si="4"/>
        <v>1476348.73</v>
      </c>
      <c r="Q23" s="39">
        <f t="shared" si="4"/>
        <v>226236.6</v>
      </c>
      <c r="R23" s="39">
        <f t="shared" si="4"/>
        <v>241728.1</v>
      </c>
      <c r="S23" s="39">
        <f t="shared" si="4"/>
        <v>0</v>
      </c>
      <c r="T23" s="39">
        <f t="shared" si="4"/>
        <v>5937080.0499999998</v>
      </c>
    </row>
    <row r="24" spans="1:20" s="20" customFormat="1" ht="23.25" customHeight="1">
      <c r="A24" s="179"/>
      <c r="B24" s="152"/>
      <c r="C24" s="152"/>
      <c r="D24" s="153"/>
      <c r="E24" s="184" t="s">
        <v>3</v>
      </c>
      <c r="F24" s="184" t="s">
        <v>14</v>
      </c>
      <c r="G24" s="171" t="s">
        <v>194</v>
      </c>
      <c r="H24" s="172"/>
      <c r="I24" s="173" t="s">
        <v>0</v>
      </c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</row>
    <row r="25" spans="1:20" s="20" customFormat="1" ht="23.25" customHeight="1">
      <c r="A25" s="154"/>
      <c r="B25" s="25"/>
      <c r="C25" s="25"/>
      <c r="D25" s="157"/>
      <c r="E25" s="185"/>
      <c r="F25" s="185"/>
      <c r="G25" s="174" t="s">
        <v>195</v>
      </c>
      <c r="H25" s="172"/>
      <c r="I25" s="175" t="s">
        <v>192</v>
      </c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</row>
    <row r="26" spans="1:20" s="20" customFormat="1" ht="23.25" customHeight="1">
      <c r="A26" s="180"/>
      <c r="B26" s="169"/>
      <c r="C26" s="169"/>
      <c r="D26" s="170"/>
      <c r="E26" s="186"/>
      <c r="F26" s="186"/>
      <c r="G26" s="176" t="s">
        <v>140</v>
      </c>
      <c r="H26" s="172"/>
      <c r="I26" s="177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</row>
    <row r="27" spans="1:20" s="20" customFormat="1" ht="21" customHeight="1">
      <c r="A27" s="178" t="s">
        <v>10</v>
      </c>
      <c r="B27" s="25"/>
      <c r="C27" s="25"/>
      <c r="D27" s="157"/>
      <c r="E27" s="166"/>
      <c r="F27" s="166"/>
      <c r="G27" s="165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s="20" customFormat="1" ht="21" customHeight="1">
      <c r="A28" s="158" t="s">
        <v>11</v>
      </c>
      <c r="B28" s="159"/>
      <c r="C28" s="159"/>
      <c r="D28" s="160"/>
      <c r="E28" s="164">
        <v>2063100</v>
      </c>
      <c r="F28" s="164">
        <f>'รายรับ(1)'!G13</f>
        <v>14036.599999999999</v>
      </c>
      <c r="G28" s="21"/>
      <c r="H28" s="21"/>
      <c r="I28" s="21">
        <f>F28+G28</f>
        <v>14036.599999999999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s="20" customFormat="1" ht="20.25" customHeight="1">
      <c r="A29" s="189" t="s">
        <v>31</v>
      </c>
      <c r="B29" s="190"/>
      <c r="C29" s="190"/>
      <c r="D29" s="161"/>
      <c r="E29" s="26">
        <v>405980</v>
      </c>
      <c r="F29" s="26">
        <f>'รายรับ(1)'!G30</f>
        <v>40381</v>
      </c>
      <c r="G29" s="26"/>
      <c r="H29" s="26"/>
      <c r="I29" s="26">
        <f t="shared" ref="I29:I36" si="5">F29+G29</f>
        <v>40381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s="20" customFormat="1" ht="21" customHeight="1">
      <c r="A30" s="162" t="s">
        <v>12</v>
      </c>
      <c r="B30" s="163"/>
      <c r="C30" s="163"/>
      <c r="D30" s="161"/>
      <c r="E30" s="26">
        <v>751000</v>
      </c>
      <c r="F30" s="26">
        <f>'รายรับ(1)'!G34</f>
        <v>84786.48</v>
      </c>
      <c r="G30" s="26"/>
      <c r="H30" s="26"/>
      <c r="I30" s="26">
        <f t="shared" si="5"/>
        <v>84786.48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s="20" customFormat="1" ht="21" customHeight="1">
      <c r="A31" s="162" t="s">
        <v>26</v>
      </c>
      <c r="B31" s="163"/>
      <c r="C31" s="163"/>
      <c r="D31" s="161"/>
      <c r="E31" s="26">
        <v>600690</v>
      </c>
      <c r="F31" s="26">
        <f>'รายรับ(1)'!G40</f>
        <v>243950</v>
      </c>
      <c r="G31" s="26"/>
      <c r="H31" s="26"/>
      <c r="I31" s="26">
        <f t="shared" si="5"/>
        <v>243950</v>
      </c>
      <c r="J31" s="21" t="s">
        <v>30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0" s="20" customFormat="1" ht="21" hidden="1" customHeight="1">
      <c r="A32" s="162" t="s">
        <v>32</v>
      </c>
      <c r="B32" s="163"/>
      <c r="C32" s="163"/>
      <c r="D32" s="161"/>
      <c r="E32" s="26"/>
      <c r="F32" s="26"/>
      <c r="G32" s="26"/>
      <c r="H32" s="26"/>
      <c r="I32" s="26">
        <f t="shared" si="5"/>
        <v>0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1:20" s="20" customFormat="1" ht="21" customHeight="1">
      <c r="A33" s="162" t="s">
        <v>32</v>
      </c>
      <c r="B33" s="163"/>
      <c r="C33" s="163"/>
      <c r="D33" s="161"/>
      <c r="E33" s="26">
        <v>1000</v>
      </c>
      <c r="F33" s="26">
        <f>'รายรับ(1)'!G43</f>
        <v>0</v>
      </c>
      <c r="G33" s="26"/>
      <c r="H33" s="26"/>
      <c r="I33" s="26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s="20" customFormat="1" ht="21" customHeight="1">
      <c r="A34" s="162" t="s">
        <v>21</v>
      </c>
      <c r="B34" s="163"/>
      <c r="C34" s="163"/>
      <c r="D34" s="161"/>
      <c r="E34" s="26">
        <v>40430730</v>
      </c>
      <c r="F34" s="26">
        <f>'รายรับ(1)'!G55</f>
        <v>7243323.96</v>
      </c>
      <c r="G34" s="26"/>
      <c r="H34" s="26"/>
      <c r="I34" s="26">
        <f t="shared" si="5"/>
        <v>7243323.96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s="20" customFormat="1" ht="21" customHeight="1">
      <c r="A35" s="162" t="s">
        <v>13</v>
      </c>
      <c r="B35" s="163"/>
      <c r="C35" s="163"/>
      <c r="D35" s="161"/>
      <c r="E35" s="26">
        <v>24147500</v>
      </c>
      <c r="F35" s="26">
        <f>'รายรับ(1)'!G65</f>
        <v>8329103</v>
      </c>
      <c r="G35" s="26"/>
      <c r="H35" s="26"/>
      <c r="I35" s="26">
        <f t="shared" si="5"/>
        <v>8329103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0" s="20" customFormat="1" ht="19.5" customHeight="1">
      <c r="A36" s="191" t="s">
        <v>46</v>
      </c>
      <c r="B36" s="192"/>
      <c r="C36" s="192"/>
      <c r="D36" s="193"/>
      <c r="E36" s="21"/>
      <c r="F36" s="21">
        <v>0</v>
      </c>
      <c r="G36" s="21">
        <f>'รายรับ(1)'!G73</f>
        <v>5394620</v>
      </c>
      <c r="H36" s="21"/>
      <c r="I36" s="21">
        <f t="shared" si="5"/>
        <v>5394620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0" s="20" customFormat="1" ht="23.25" customHeight="1">
      <c r="A37" s="194" t="s">
        <v>14</v>
      </c>
      <c r="B37" s="195"/>
      <c r="C37" s="195"/>
      <c r="D37" s="196"/>
      <c r="E37" s="39">
        <f>SUM(E27:E36)</f>
        <v>68400000</v>
      </c>
      <c r="F37" s="39">
        <f>SUM(F28:F36)</f>
        <v>15955581.039999999</v>
      </c>
      <c r="G37" s="39">
        <f t="shared" ref="G37" si="6">SUM(G28:G36)</f>
        <v>5394620</v>
      </c>
      <c r="H37" s="39"/>
      <c r="I37" s="39">
        <f>SUM(I28:I36)</f>
        <v>21350201.039999999</v>
      </c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s="20" customFormat="1" ht="30" customHeight="1" thickBot="1">
      <c r="A38" s="40" t="s">
        <v>17</v>
      </c>
      <c r="B38" s="23"/>
      <c r="C38" s="23"/>
      <c r="D38" s="23"/>
      <c r="E38" s="23"/>
      <c r="F38" s="24">
        <f>F37-F23</f>
        <v>7032337.8399999999</v>
      </c>
      <c r="G38" s="23"/>
      <c r="H38" s="23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20" customFormat="1" ht="22.5" customHeight="1" thickTop="1">
      <c r="A39" s="40"/>
      <c r="B39" s="23"/>
      <c r="C39" s="23"/>
      <c r="D39" s="23"/>
      <c r="E39" s="23"/>
      <c r="F39" s="23"/>
      <c r="G39" s="23"/>
      <c r="H39" s="23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customFormat="1" ht="30" customHeight="1">
      <c r="A40" s="167"/>
      <c r="C40" s="197" t="s">
        <v>196</v>
      </c>
      <c r="D40" s="197"/>
      <c r="E40" s="197"/>
      <c r="G40" s="187" t="s">
        <v>197</v>
      </c>
      <c r="H40" s="187"/>
      <c r="I40" s="187"/>
      <c r="J40" s="187"/>
      <c r="M40" s="187" t="s">
        <v>198</v>
      </c>
      <c r="N40" s="187"/>
      <c r="O40" s="187"/>
      <c r="P40" s="187"/>
    </row>
    <row r="41" spans="1:20" customFormat="1" ht="30" customHeight="1">
      <c r="A41" s="167"/>
      <c r="C41" s="187" t="s">
        <v>199</v>
      </c>
      <c r="D41" s="187"/>
      <c r="E41" s="187"/>
      <c r="G41" s="187" t="s">
        <v>200</v>
      </c>
      <c r="H41" s="187"/>
      <c r="I41" s="187"/>
      <c r="J41" s="187"/>
      <c r="M41" s="187" t="s">
        <v>201</v>
      </c>
      <c r="N41" s="187"/>
      <c r="O41" s="187"/>
      <c r="P41" s="187"/>
    </row>
    <row r="42" spans="1:20" customFormat="1" ht="24">
      <c r="A42" s="167"/>
      <c r="C42" s="187" t="s">
        <v>202</v>
      </c>
      <c r="D42" s="187"/>
      <c r="E42" s="187"/>
      <c r="G42" s="187" t="s">
        <v>203</v>
      </c>
      <c r="H42" s="187"/>
      <c r="I42" s="187"/>
      <c r="J42" s="187"/>
      <c r="M42" s="188" t="s">
        <v>204</v>
      </c>
      <c r="N42" s="188"/>
      <c r="O42" s="188"/>
      <c r="P42" s="188"/>
    </row>
    <row r="43" spans="1:20" customFormat="1" ht="24">
      <c r="A43" s="167"/>
      <c r="G43" s="188"/>
      <c r="H43" s="188"/>
      <c r="I43" s="188"/>
      <c r="J43" s="188"/>
      <c r="M43" s="188"/>
      <c r="N43" s="188"/>
      <c r="O43" s="188"/>
      <c r="P43" s="188"/>
    </row>
  </sheetData>
  <mergeCells count="32">
    <mergeCell ref="T6:T8"/>
    <mergeCell ref="R6:R8"/>
    <mergeCell ref="Q6:Q8"/>
    <mergeCell ref="P6:P8"/>
    <mergeCell ref="A2:T2"/>
    <mergeCell ref="A3:T3"/>
    <mergeCell ref="A4:T4"/>
    <mergeCell ref="I6:I8"/>
    <mergeCell ref="B6:B8"/>
    <mergeCell ref="A6:A8"/>
    <mergeCell ref="O6:O8"/>
    <mergeCell ref="N6:N8"/>
    <mergeCell ref="L6:L8"/>
    <mergeCell ref="K6:K8"/>
    <mergeCell ref="J6:J8"/>
    <mergeCell ref="E6:E8"/>
    <mergeCell ref="G43:J43"/>
    <mergeCell ref="M43:P43"/>
    <mergeCell ref="C40:E40"/>
    <mergeCell ref="G40:J40"/>
    <mergeCell ref="M40:P40"/>
    <mergeCell ref="C41:E41"/>
    <mergeCell ref="G41:J41"/>
    <mergeCell ref="M41:P41"/>
    <mergeCell ref="E24:E26"/>
    <mergeCell ref="F24:F26"/>
    <mergeCell ref="C42:E42"/>
    <mergeCell ref="G42:J42"/>
    <mergeCell ref="M42:P42"/>
    <mergeCell ref="A29:C29"/>
    <mergeCell ref="A36:D36"/>
    <mergeCell ref="A37:D37"/>
  </mergeCells>
  <phoneticPr fontId="3" type="noConversion"/>
  <pageMargins left="0.31496062992125984" right="0.15748031496062992" top="0.23622047244094491" bottom="0" header="0.15748031496062992" footer="0.19685039370078741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9"/>
  <sheetViews>
    <sheetView view="pageBreakPreview" topLeftCell="A112" zoomScale="140" zoomScaleNormal="100" zoomScaleSheetLayoutView="140" workbookViewId="0">
      <selection activeCell="C124" sqref="C124"/>
    </sheetView>
  </sheetViews>
  <sheetFormatPr defaultRowHeight="23.25"/>
  <cols>
    <col min="1" max="1" width="13.7109375" customWidth="1"/>
    <col min="2" max="2" width="18.5703125" customWidth="1"/>
    <col min="3" max="3" width="23.140625" customWidth="1"/>
    <col min="4" max="4" width="19.28515625" customWidth="1"/>
    <col min="5" max="5" width="12.28515625" customWidth="1"/>
    <col min="6" max="6" width="12.140625" customWidth="1"/>
    <col min="7" max="7" width="15.42578125" customWidth="1"/>
    <col min="8" max="8" width="16.5703125" customWidth="1"/>
    <col min="9" max="9" width="15.42578125" customWidth="1"/>
    <col min="10" max="10" width="14.5703125" customWidth="1"/>
    <col min="12" max="12" width="14.28515625" bestFit="1" customWidth="1"/>
  </cols>
  <sheetData>
    <row r="1" spans="1:9">
      <c r="A1" s="207" t="s">
        <v>49</v>
      </c>
      <c r="B1" s="207"/>
      <c r="C1" s="207"/>
      <c r="D1" s="207"/>
      <c r="E1" s="207"/>
      <c r="F1" s="207"/>
      <c r="G1" s="207"/>
      <c r="H1" s="207"/>
      <c r="I1" s="207"/>
    </row>
    <row r="2" spans="1:9">
      <c r="A2" s="207" t="s">
        <v>182</v>
      </c>
      <c r="B2" s="207"/>
      <c r="C2" s="207"/>
      <c r="D2" s="207"/>
      <c r="E2" s="207"/>
      <c r="F2" s="207"/>
      <c r="G2" s="207"/>
      <c r="H2" s="207"/>
      <c r="I2" s="207"/>
    </row>
    <row r="3" spans="1:9">
      <c r="A3" s="215" t="s">
        <v>193</v>
      </c>
      <c r="B3" s="215"/>
      <c r="C3" s="215"/>
      <c r="D3" s="215"/>
      <c r="E3" s="215"/>
      <c r="F3" s="215"/>
      <c r="G3" s="215"/>
      <c r="H3" s="215"/>
      <c r="I3" s="215"/>
    </row>
    <row r="4" spans="1:9">
      <c r="A4" s="105" t="s">
        <v>143</v>
      </c>
      <c r="B4" s="105" t="s">
        <v>144</v>
      </c>
      <c r="C4" s="105" t="s">
        <v>145</v>
      </c>
      <c r="D4" s="155" t="s">
        <v>180</v>
      </c>
      <c r="E4" s="155" t="s">
        <v>178</v>
      </c>
      <c r="F4" s="155" t="s">
        <v>179</v>
      </c>
      <c r="G4" s="155" t="s">
        <v>3</v>
      </c>
      <c r="H4" s="105" t="s">
        <v>6</v>
      </c>
      <c r="I4" s="105" t="s">
        <v>0</v>
      </c>
    </row>
    <row r="5" spans="1:9">
      <c r="A5" s="109" t="s">
        <v>6</v>
      </c>
      <c r="B5" s="109" t="s">
        <v>6</v>
      </c>
      <c r="C5" s="109" t="s">
        <v>147</v>
      </c>
      <c r="D5" s="110">
        <v>4702570</v>
      </c>
      <c r="E5" s="110">
        <v>5050</v>
      </c>
      <c r="F5" s="110"/>
      <c r="G5" s="110">
        <f>D5+E5-F5</f>
        <v>4707620</v>
      </c>
      <c r="H5" s="110">
        <v>1078583.7</v>
      </c>
      <c r="I5" s="110">
        <f>H5</f>
        <v>1078583.7</v>
      </c>
    </row>
    <row r="6" spans="1:9">
      <c r="A6" s="109"/>
      <c r="B6" s="109"/>
      <c r="C6" s="156" t="s">
        <v>46</v>
      </c>
      <c r="D6" s="110"/>
      <c r="E6" s="110"/>
      <c r="F6" s="110"/>
      <c r="G6" s="110"/>
      <c r="H6" s="110">
        <v>4858496.3499999996</v>
      </c>
      <c r="I6" s="110">
        <f>H6</f>
        <v>4858496.3499999996</v>
      </c>
    </row>
    <row r="7" spans="1:9">
      <c r="A7" s="109"/>
      <c r="B7" s="109"/>
      <c r="C7" s="109"/>
      <c r="D7" s="110"/>
      <c r="E7" s="110"/>
      <c r="F7" s="110"/>
      <c r="G7" s="110"/>
      <c r="H7" s="110"/>
      <c r="I7" s="110"/>
    </row>
    <row r="8" spans="1:9">
      <c r="A8" s="109"/>
      <c r="B8" s="109"/>
      <c r="C8" s="109"/>
      <c r="D8" s="110"/>
      <c r="E8" s="110"/>
      <c r="F8" s="110"/>
      <c r="G8" s="110"/>
      <c r="H8" s="110"/>
      <c r="I8" s="110"/>
    </row>
    <row r="9" spans="1:9">
      <c r="A9" s="109"/>
      <c r="B9" s="109"/>
      <c r="C9" s="109"/>
      <c r="D9" s="110"/>
      <c r="E9" s="110"/>
      <c r="F9" s="110"/>
      <c r="G9" s="110"/>
      <c r="H9" s="110"/>
      <c r="I9" s="110"/>
    </row>
    <row r="10" spans="1:9">
      <c r="A10" s="109"/>
      <c r="B10" s="109"/>
      <c r="C10" s="109"/>
      <c r="D10" s="110"/>
      <c r="E10" s="110"/>
      <c r="F10" s="110"/>
      <c r="G10" s="110"/>
      <c r="H10" s="110"/>
      <c r="I10" s="110"/>
    </row>
    <row r="11" spans="1:9">
      <c r="A11" s="109"/>
      <c r="B11" s="109"/>
      <c r="C11" s="109"/>
      <c r="D11" s="110"/>
      <c r="E11" s="110"/>
      <c r="F11" s="110"/>
      <c r="G11" s="110"/>
      <c r="H11" s="110"/>
      <c r="I11" s="110"/>
    </row>
    <row r="12" spans="1:9">
      <c r="A12" s="109"/>
      <c r="B12" s="109"/>
      <c r="C12" s="109"/>
      <c r="D12" s="110"/>
      <c r="E12" s="110"/>
      <c r="F12" s="110"/>
      <c r="G12" s="110"/>
      <c r="H12" s="110"/>
      <c r="I12" s="110"/>
    </row>
    <row r="13" spans="1:9">
      <c r="A13" s="3"/>
      <c r="B13" s="3"/>
      <c r="C13" s="3"/>
      <c r="D13" s="108"/>
      <c r="E13" s="108"/>
      <c r="F13" s="108"/>
      <c r="G13" s="108"/>
      <c r="H13" s="108"/>
      <c r="I13" s="108"/>
    </row>
    <row r="14" spans="1:9">
      <c r="A14" s="3"/>
      <c r="B14" s="3"/>
      <c r="C14" s="3"/>
      <c r="D14" s="108"/>
      <c r="E14" s="108"/>
      <c r="F14" s="108"/>
      <c r="G14" s="108"/>
      <c r="H14" s="108"/>
      <c r="I14" s="108"/>
    </row>
    <row r="15" spans="1:9">
      <c r="A15" s="212" t="s">
        <v>0</v>
      </c>
      <c r="B15" s="213"/>
      <c r="C15" s="214"/>
      <c r="D15" s="6">
        <f>SUM(D5:D14)</f>
        <v>4702570</v>
      </c>
      <c r="E15" s="6">
        <f>SUM(E5)</f>
        <v>5050</v>
      </c>
      <c r="F15" s="6">
        <f>SUM(F5)</f>
        <v>0</v>
      </c>
      <c r="G15" s="6">
        <f>SUM(G5)</f>
        <v>4707620</v>
      </c>
      <c r="H15" s="6">
        <f>SUM(H5:H14)</f>
        <v>5937080.0499999998</v>
      </c>
      <c r="I15" s="6">
        <f t="shared" ref="I15" si="0">SUM(I5:I14)</f>
        <v>5937080.0499999998</v>
      </c>
    </row>
    <row r="16" spans="1:9">
      <c r="A16" s="1" t="s">
        <v>146</v>
      </c>
      <c r="B16" s="1"/>
      <c r="C16" s="1"/>
      <c r="D16" s="2"/>
      <c r="E16" s="2"/>
      <c r="F16" s="2"/>
      <c r="G16" s="2"/>
      <c r="H16" s="2"/>
      <c r="I16" s="2"/>
    </row>
    <row r="17" spans="1:12">
      <c r="A17" s="1"/>
      <c r="B17" s="1"/>
      <c r="C17" s="1"/>
      <c r="D17" s="1"/>
      <c r="E17" s="1"/>
      <c r="F17" s="1"/>
      <c r="G17" s="1"/>
      <c r="H17" s="1"/>
      <c r="I17" s="1"/>
    </row>
    <row r="18" spans="1:12">
      <c r="A18" s="207" t="s">
        <v>49</v>
      </c>
      <c r="B18" s="207"/>
      <c r="C18" s="207"/>
      <c r="D18" s="207"/>
      <c r="E18" s="207"/>
      <c r="F18" s="207"/>
      <c r="G18" s="207"/>
      <c r="H18" s="207"/>
      <c r="I18" s="207"/>
    </row>
    <row r="19" spans="1:12">
      <c r="A19" s="207" t="s">
        <v>183</v>
      </c>
      <c r="B19" s="207"/>
      <c r="C19" s="207"/>
      <c r="D19" s="207"/>
      <c r="E19" s="207"/>
      <c r="F19" s="207"/>
      <c r="G19" s="207"/>
      <c r="H19" s="207"/>
      <c r="I19" s="207"/>
    </row>
    <row r="20" spans="1:12">
      <c r="A20" s="215" t="s">
        <v>193</v>
      </c>
      <c r="B20" s="215"/>
      <c r="C20" s="215"/>
      <c r="D20" s="215"/>
      <c r="E20" s="215"/>
      <c r="F20" s="215"/>
      <c r="G20" s="215"/>
      <c r="H20" s="215"/>
      <c r="I20" s="215"/>
    </row>
    <row r="21" spans="1:12">
      <c r="A21" s="105" t="s">
        <v>143</v>
      </c>
      <c r="B21" s="105" t="s">
        <v>144</v>
      </c>
      <c r="C21" s="105" t="s">
        <v>145</v>
      </c>
      <c r="D21" s="155" t="s">
        <v>180</v>
      </c>
      <c r="E21" s="155" t="s">
        <v>178</v>
      </c>
      <c r="F21" s="155" t="s">
        <v>179</v>
      </c>
      <c r="G21" s="155" t="s">
        <v>3</v>
      </c>
      <c r="H21" s="105" t="s">
        <v>39</v>
      </c>
      <c r="I21" s="105" t="s">
        <v>38</v>
      </c>
      <c r="J21" s="106" t="s">
        <v>0</v>
      </c>
    </row>
    <row r="22" spans="1:12">
      <c r="A22" s="109" t="s">
        <v>148</v>
      </c>
      <c r="B22" s="109" t="s">
        <v>40</v>
      </c>
      <c r="C22" s="109" t="s">
        <v>147</v>
      </c>
      <c r="D22" s="110">
        <v>2848320</v>
      </c>
      <c r="E22" s="110"/>
      <c r="F22" s="110"/>
      <c r="G22" s="110">
        <f>D22+E22-F22</f>
        <v>2848320</v>
      </c>
      <c r="H22" s="110">
        <v>681840</v>
      </c>
      <c r="I22" s="110"/>
      <c r="J22" s="113">
        <f>H22+I22</f>
        <v>681840</v>
      </c>
    </row>
    <row r="23" spans="1:12">
      <c r="A23" s="109"/>
      <c r="B23" s="109" t="s">
        <v>41</v>
      </c>
      <c r="C23" s="109" t="s">
        <v>147</v>
      </c>
      <c r="D23" s="110">
        <f>4363800+2145800</f>
        <v>6509600</v>
      </c>
      <c r="E23" s="110"/>
      <c r="F23" s="110"/>
      <c r="G23" s="110">
        <f t="shared" ref="G23:G33" si="1">D23+E23-F23</f>
        <v>6509600</v>
      </c>
      <c r="H23" s="110">
        <v>997955</v>
      </c>
      <c r="I23" s="110">
        <v>454830</v>
      </c>
      <c r="J23" s="113">
        <f t="shared" ref="J23:J33" si="2">H23+I23</f>
        <v>1452785</v>
      </c>
      <c r="L23" s="114"/>
    </row>
    <row r="24" spans="1:12">
      <c r="A24" s="109"/>
      <c r="B24" s="109" t="s">
        <v>37</v>
      </c>
      <c r="C24" s="109" t="s">
        <v>147</v>
      </c>
      <c r="D24" s="110">
        <f>288880+224700</f>
        <v>513580</v>
      </c>
      <c r="E24" s="110"/>
      <c r="F24" s="110"/>
      <c r="G24" s="110">
        <f t="shared" si="1"/>
        <v>513580</v>
      </c>
      <c r="H24" s="110">
        <v>49950</v>
      </c>
      <c r="I24" s="110">
        <v>50880</v>
      </c>
      <c r="J24" s="113">
        <f t="shared" si="2"/>
        <v>100830</v>
      </c>
    </row>
    <row r="25" spans="1:12">
      <c r="A25" s="109"/>
      <c r="B25" s="109" t="s">
        <v>24</v>
      </c>
      <c r="C25" s="109" t="s">
        <v>147</v>
      </c>
      <c r="D25" s="110">
        <f>1652480+595600</f>
        <v>2248080</v>
      </c>
      <c r="E25" s="110"/>
      <c r="F25" s="110"/>
      <c r="G25" s="110">
        <f t="shared" si="1"/>
        <v>2248080</v>
      </c>
      <c r="H25" s="110">
        <v>423895</v>
      </c>
      <c r="I25" s="110">
        <v>131620</v>
      </c>
      <c r="J25" s="113">
        <f t="shared" si="2"/>
        <v>555515</v>
      </c>
    </row>
    <row r="26" spans="1:12">
      <c r="A26" s="116" t="s">
        <v>149</v>
      </c>
      <c r="B26" s="116" t="s">
        <v>27</v>
      </c>
      <c r="C26" s="116" t="s">
        <v>147</v>
      </c>
      <c r="D26" s="117">
        <f>1400000+314000</f>
        <v>1714000</v>
      </c>
      <c r="E26" s="117"/>
      <c r="F26" s="117"/>
      <c r="G26" s="110">
        <f t="shared" si="1"/>
        <v>1714000</v>
      </c>
      <c r="H26" s="117">
        <v>97590</v>
      </c>
      <c r="I26" s="117">
        <v>62900</v>
      </c>
      <c r="J26" s="118">
        <f t="shared" si="2"/>
        <v>160490</v>
      </c>
    </row>
    <row r="27" spans="1:12">
      <c r="A27" s="109"/>
      <c r="B27" s="109" t="s">
        <v>7</v>
      </c>
      <c r="C27" s="109" t="s">
        <v>147</v>
      </c>
      <c r="D27" s="110">
        <f>2420000+620000</f>
        <v>3040000</v>
      </c>
      <c r="E27" s="110"/>
      <c r="F27" s="110">
        <v>35050</v>
      </c>
      <c r="G27" s="110">
        <f t="shared" si="1"/>
        <v>3004950</v>
      </c>
      <c r="H27" s="110">
        <v>131280.57</v>
      </c>
      <c r="I27" s="110">
        <v>40453.67</v>
      </c>
      <c r="J27" s="113">
        <f t="shared" si="2"/>
        <v>171734.24</v>
      </c>
    </row>
    <row r="28" spans="1:12">
      <c r="A28" s="109"/>
      <c r="B28" s="109" t="s">
        <v>8</v>
      </c>
      <c r="C28" s="109" t="s">
        <v>147</v>
      </c>
      <c r="D28" s="110">
        <f>1798060+490000</f>
        <v>2288060</v>
      </c>
      <c r="E28" s="110">
        <v>30000</v>
      </c>
      <c r="F28" s="110"/>
      <c r="G28" s="110">
        <f t="shared" si="1"/>
        <v>2318060</v>
      </c>
      <c r="H28" s="110">
        <v>235765</v>
      </c>
      <c r="I28" s="110">
        <v>152322</v>
      </c>
      <c r="J28" s="113">
        <f t="shared" si="2"/>
        <v>388087</v>
      </c>
    </row>
    <row r="29" spans="1:12">
      <c r="A29" s="109"/>
      <c r="B29" s="109" t="s">
        <v>28</v>
      </c>
      <c r="C29" s="109" t="s">
        <v>147</v>
      </c>
      <c r="D29" s="110">
        <f>1010000+20000</f>
        <v>1030000</v>
      </c>
      <c r="E29" s="110"/>
      <c r="F29" s="110"/>
      <c r="G29" s="110">
        <f t="shared" si="1"/>
        <v>1030000</v>
      </c>
      <c r="H29" s="110">
        <v>204902.26</v>
      </c>
      <c r="I29" s="110">
        <v>4274</v>
      </c>
      <c r="J29" s="113">
        <f t="shared" si="2"/>
        <v>209176.26</v>
      </c>
    </row>
    <row r="30" spans="1:12">
      <c r="A30" s="116" t="s">
        <v>150</v>
      </c>
      <c r="B30" s="116" t="s">
        <v>20</v>
      </c>
      <c r="C30" s="116" t="s">
        <v>147</v>
      </c>
      <c r="D30" s="117">
        <f>480200+15200</f>
        <v>495400</v>
      </c>
      <c r="E30" s="117"/>
      <c r="F30" s="117"/>
      <c r="G30" s="110">
        <f t="shared" si="1"/>
        <v>495400</v>
      </c>
      <c r="H30" s="117"/>
      <c r="I30" s="117"/>
      <c r="J30" s="118">
        <f t="shared" si="2"/>
        <v>0</v>
      </c>
    </row>
    <row r="31" spans="1:12">
      <c r="A31" s="109"/>
      <c r="B31" s="109" t="s">
        <v>25</v>
      </c>
      <c r="C31" s="109" t="s">
        <v>147</v>
      </c>
      <c r="D31" s="110">
        <f>877000+110800</f>
        <v>987800</v>
      </c>
      <c r="E31" s="110"/>
      <c r="F31" s="110"/>
      <c r="G31" s="110">
        <f t="shared" si="1"/>
        <v>987800</v>
      </c>
      <c r="H31" s="110"/>
      <c r="I31" s="110"/>
      <c r="J31" s="113">
        <f t="shared" si="2"/>
        <v>0</v>
      </c>
    </row>
    <row r="32" spans="1:12">
      <c r="A32" s="109" t="s">
        <v>151</v>
      </c>
      <c r="B32" s="109" t="s">
        <v>36</v>
      </c>
      <c r="C32" s="109" t="s">
        <v>147</v>
      </c>
      <c r="D32" s="110"/>
      <c r="E32" s="110"/>
      <c r="F32" s="110"/>
      <c r="G32" s="110">
        <f t="shared" si="1"/>
        <v>0</v>
      </c>
      <c r="H32" s="110"/>
      <c r="I32" s="110"/>
      <c r="J32" s="113">
        <f t="shared" si="2"/>
        <v>0</v>
      </c>
    </row>
    <row r="33" spans="1:10" ht="24" thickBot="1">
      <c r="A33" s="116" t="s">
        <v>152</v>
      </c>
      <c r="B33" s="116" t="s">
        <v>29</v>
      </c>
      <c r="C33" s="116" t="s">
        <v>147</v>
      </c>
      <c r="D33" s="117">
        <v>30000</v>
      </c>
      <c r="E33" s="117"/>
      <c r="F33" s="117"/>
      <c r="G33" s="110">
        <f t="shared" si="1"/>
        <v>30000</v>
      </c>
      <c r="H33" s="117">
        <v>10000</v>
      </c>
      <c r="I33" s="117"/>
      <c r="J33" s="118">
        <f t="shared" si="2"/>
        <v>10000</v>
      </c>
    </row>
    <row r="34" spans="1:10" ht="24" thickBot="1">
      <c r="A34" s="216" t="s">
        <v>0</v>
      </c>
      <c r="B34" s="217"/>
      <c r="C34" s="218"/>
      <c r="D34" s="119">
        <f>SUM(D22:D33)</f>
        <v>21704840</v>
      </c>
      <c r="E34" s="119">
        <f t="shared" ref="E34:G34" si="3">SUM(E22:E33)</f>
        <v>30000</v>
      </c>
      <c r="F34" s="119">
        <f t="shared" si="3"/>
        <v>35050</v>
      </c>
      <c r="G34" s="119">
        <f t="shared" si="3"/>
        <v>21699790</v>
      </c>
      <c r="H34" s="119">
        <f>SUM(H22:H33)</f>
        <v>2833177.83</v>
      </c>
      <c r="I34" s="119">
        <f t="shared" ref="I34:J34" si="4">SUM(I22:I33)</f>
        <v>897279.67</v>
      </c>
      <c r="J34" s="119">
        <f t="shared" si="4"/>
        <v>3730457.5</v>
      </c>
    </row>
    <row r="35" spans="1:10">
      <c r="A35" s="1" t="s">
        <v>146</v>
      </c>
      <c r="B35" s="1"/>
      <c r="C35" s="1"/>
      <c r="D35" s="1"/>
      <c r="E35" s="1"/>
      <c r="F35" s="1"/>
      <c r="G35" s="1"/>
      <c r="H35" s="1"/>
      <c r="I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</row>
    <row r="37" spans="1:10">
      <c r="A37" s="207" t="s">
        <v>49</v>
      </c>
      <c r="B37" s="207"/>
      <c r="C37" s="207"/>
      <c r="D37" s="207"/>
      <c r="E37" s="207"/>
      <c r="F37" s="207"/>
      <c r="G37" s="207"/>
      <c r="H37" s="207"/>
      <c r="I37" s="207"/>
    </row>
    <row r="38" spans="1:10">
      <c r="A38" s="207" t="s">
        <v>184</v>
      </c>
      <c r="B38" s="207"/>
      <c r="C38" s="207"/>
      <c r="D38" s="207"/>
      <c r="E38" s="207"/>
      <c r="F38" s="207"/>
      <c r="G38" s="207"/>
      <c r="H38" s="207"/>
      <c r="I38" s="207"/>
    </row>
    <row r="39" spans="1:10">
      <c r="A39" s="215" t="s">
        <v>193</v>
      </c>
      <c r="B39" s="215"/>
      <c r="C39" s="215"/>
      <c r="D39" s="215"/>
      <c r="E39" s="215"/>
      <c r="F39" s="215"/>
      <c r="G39" s="215"/>
      <c r="H39" s="215"/>
      <c r="I39" s="215"/>
    </row>
    <row r="40" spans="1:10" ht="65.25">
      <c r="A40" s="112" t="s">
        <v>143</v>
      </c>
      <c r="B40" s="112" t="s">
        <v>144</v>
      </c>
      <c r="C40" s="112" t="s">
        <v>145</v>
      </c>
      <c r="D40" s="155" t="s">
        <v>180</v>
      </c>
      <c r="E40" s="155" t="s">
        <v>178</v>
      </c>
      <c r="F40" s="155" t="s">
        <v>179</v>
      </c>
      <c r="G40" s="155" t="s">
        <v>3</v>
      </c>
      <c r="H40" s="111" t="s">
        <v>153</v>
      </c>
      <c r="I40" s="112" t="s">
        <v>0</v>
      </c>
    </row>
    <row r="41" spans="1:10">
      <c r="A41" s="109" t="s">
        <v>148</v>
      </c>
      <c r="B41" s="109" t="s">
        <v>40</v>
      </c>
      <c r="C41" s="109" t="s">
        <v>147</v>
      </c>
      <c r="D41" s="108">
        <v>0</v>
      </c>
      <c r="E41" s="108"/>
      <c r="F41" s="108"/>
      <c r="G41" s="108">
        <f>D41+E41-F41</f>
        <v>0</v>
      </c>
      <c r="H41" s="108">
        <v>0</v>
      </c>
      <c r="I41" s="108">
        <f>H41</f>
        <v>0</v>
      </c>
    </row>
    <row r="42" spans="1:10">
      <c r="A42" s="109"/>
      <c r="B42" s="109" t="s">
        <v>41</v>
      </c>
      <c r="C42" s="109" t="s">
        <v>147</v>
      </c>
      <c r="D42" s="108">
        <v>191000</v>
      </c>
      <c r="E42" s="108"/>
      <c r="F42" s="108"/>
      <c r="G42" s="108">
        <f>D42+E42-F42</f>
        <v>191000</v>
      </c>
      <c r="H42" s="108">
        <v>43247</v>
      </c>
      <c r="I42" s="108">
        <f t="shared" ref="I42:I52" si="5">H42</f>
        <v>43247</v>
      </c>
    </row>
    <row r="43" spans="1:10">
      <c r="A43" s="109"/>
      <c r="B43" s="109" t="s">
        <v>37</v>
      </c>
      <c r="C43" s="109" t="s">
        <v>147</v>
      </c>
      <c r="D43" s="108">
        <v>0</v>
      </c>
      <c r="E43" s="108"/>
      <c r="F43" s="108"/>
      <c r="G43" s="108">
        <f t="shared" ref="G43:G52" si="6">D43+E43-F43</f>
        <v>0</v>
      </c>
      <c r="H43" s="108"/>
      <c r="I43" s="108">
        <f t="shared" si="5"/>
        <v>0</v>
      </c>
    </row>
    <row r="44" spans="1:10">
      <c r="A44" s="109"/>
      <c r="B44" s="109" t="s">
        <v>24</v>
      </c>
      <c r="C44" s="109" t="s">
        <v>147</v>
      </c>
      <c r="D44" s="108">
        <v>1201000</v>
      </c>
      <c r="E44" s="108"/>
      <c r="F44" s="108"/>
      <c r="G44" s="108">
        <f t="shared" si="6"/>
        <v>1201000</v>
      </c>
      <c r="H44" s="108">
        <v>245070</v>
      </c>
      <c r="I44" s="108">
        <f t="shared" si="5"/>
        <v>245070</v>
      </c>
    </row>
    <row r="45" spans="1:10">
      <c r="A45" s="109" t="s">
        <v>149</v>
      </c>
      <c r="B45" s="109" t="s">
        <v>27</v>
      </c>
      <c r="C45" s="109" t="s">
        <v>147</v>
      </c>
      <c r="D45" s="108"/>
      <c r="E45" s="108"/>
      <c r="F45" s="108"/>
      <c r="G45" s="108">
        <f t="shared" si="6"/>
        <v>0</v>
      </c>
      <c r="H45" s="108"/>
      <c r="I45" s="108">
        <f t="shared" si="5"/>
        <v>0</v>
      </c>
    </row>
    <row r="46" spans="1:10">
      <c r="A46" s="109"/>
      <c r="B46" s="109" t="s">
        <v>7</v>
      </c>
      <c r="C46" s="109" t="s">
        <v>147</v>
      </c>
      <c r="D46" s="108">
        <v>220000</v>
      </c>
      <c r="E46" s="108"/>
      <c r="F46" s="108"/>
      <c r="G46" s="108">
        <f t="shared" si="6"/>
        <v>220000</v>
      </c>
      <c r="H46" s="108"/>
      <c r="I46" s="108">
        <f t="shared" si="5"/>
        <v>0</v>
      </c>
    </row>
    <row r="47" spans="1:10">
      <c r="A47" s="109"/>
      <c r="B47" s="109" t="s">
        <v>8</v>
      </c>
      <c r="C47" s="109" t="s">
        <v>147</v>
      </c>
      <c r="D47" s="108">
        <v>0</v>
      </c>
      <c r="E47" s="108"/>
      <c r="F47" s="108"/>
      <c r="G47" s="108">
        <f t="shared" si="6"/>
        <v>0</v>
      </c>
      <c r="H47" s="108">
        <v>0</v>
      </c>
      <c r="I47" s="108">
        <f t="shared" si="5"/>
        <v>0</v>
      </c>
    </row>
    <row r="48" spans="1:10">
      <c r="A48" s="109"/>
      <c r="B48" s="109" t="s">
        <v>28</v>
      </c>
      <c r="C48" s="109" t="s">
        <v>147</v>
      </c>
      <c r="D48" s="108">
        <v>0</v>
      </c>
      <c r="E48" s="108"/>
      <c r="F48" s="108"/>
      <c r="G48" s="108">
        <f t="shared" si="6"/>
        <v>0</v>
      </c>
      <c r="H48" s="108">
        <v>0</v>
      </c>
      <c r="I48" s="108">
        <f t="shared" si="5"/>
        <v>0</v>
      </c>
    </row>
    <row r="49" spans="1:10">
      <c r="A49" s="109" t="s">
        <v>150</v>
      </c>
      <c r="B49" s="109" t="s">
        <v>20</v>
      </c>
      <c r="C49" s="109" t="s">
        <v>147</v>
      </c>
      <c r="D49" s="108">
        <v>0</v>
      </c>
      <c r="E49" s="108"/>
      <c r="F49" s="108"/>
      <c r="G49" s="108">
        <f t="shared" si="6"/>
        <v>0</v>
      </c>
      <c r="H49" s="108">
        <v>0</v>
      </c>
      <c r="I49" s="108">
        <f t="shared" si="5"/>
        <v>0</v>
      </c>
    </row>
    <row r="50" spans="1:10">
      <c r="A50" s="109"/>
      <c r="B50" s="109" t="s">
        <v>25</v>
      </c>
      <c r="C50" s="109" t="s">
        <v>147</v>
      </c>
      <c r="D50" s="108">
        <v>0</v>
      </c>
      <c r="E50" s="108"/>
      <c r="F50" s="108"/>
      <c r="G50" s="108">
        <f t="shared" si="6"/>
        <v>0</v>
      </c>
      <c r="H50" s="108">
        <v>0</v>
      </c>
      <c r="I50" s="108">
        <f t="shared" si="5"/>
        <v>0</v>
      </c>
    </row>
    <row r="51" spans="1:10">
      <c r="A51" s="109" t="s">
        <v>151</v>
      </c>
      <c r="B51" s="109" t="s">
        <v>36</v>
      </c>
      <c r="C51" s="109" t="s">
        <v>147</v>
      </c>
      <c r="D51" s="108">
        <v>0</v>
      </c>
      <c r="E51" s="108"/>
      <c r="F51" s="108"/>
      <c r="G51" s="108">
        <f t="shared" si="6"/>
        <v>0</v>
      </c>
      <c r="H51" s="108">
        <v>0</v>
      </c>
      <c r="I51" s="108">
        <f t="shared" si="5"/>
        <v>0</v>
      </c>
    </row>
    <row r="52" spans="1:10">
      <c r="A52" s="109" t="s">
        <v>152</v>
      </c>
      <c r="B52" s="109" t="s">
        <v>29</v>
      </c>
      <c r="C52" s="109" t="s">
        <v>147</v>
      </c>
      <c r="D52" s="108">
        <v>0</v>
      </c>
      <c r="E52" s="108"/>
      <c r="F52" s="108"/>
      <c r="G52" s="108">
        <f t="shared" si="6"/>
        <v>0</v>
      </c>
      <c r="H52" s="108">
        <v>0</v>
      </c>
      <c r="I52" s="108">
        <f t="shared" si="5"/>
        <v>0</v>
      </c>
    </row>
    <row r="53" spans="1:10">
      <c r="A53" s="212" t="s">
        <v>0</v>
      </c>
      <c r="B53" s="213"/>
      <c r="C53" s="214"/>
      <c r="D53" s="115">
        <f>SUM(D41:D52)</f>
        <v>1612000</v>
      </c>
      <c r="E53" s="115">
        <f t="shared" ref="E53:G53" si="7">SUM(E41:E52)</f>
        <v>0</v>
      </c>
      <c r="F53" s="115">
        <f t="shared" si="7"/>
        <v>0</v>
      </c>
      <c r="G53" s="115">
        <f t="shared" si="7"/>
        <v>1612000</v>
      </c>
      <c r="H53" s="115">
        <f>SUM(H41:H52)</f>
        <v>288317</v>
      </c>
      <c r="I53" s="115">
        <f>SUM(I41:I52)</f>
        <v>288317</v>
      </c>
    </row>
    <row r="54" spans="1:10">
      <c r="A54" s="1" t="s">
        <v>146</v>
      </c>
      <c r="B54" s="1"/>
      <c r="C54" s="1"/>
      <c r="D54" s="1"/>
      <c r="E54" s="1"/>
      <c r="F54" s="1"/>
      <c r="G54" s="1"/>
      <c r="H54" s="1"/>
      <c r="I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</row>
    <row r="56" spans="1:10">
      <c r="A56" s="207" t="s">
        <v>49</v>
      </c>
      <c r="B56" s="207"/>
      <c r="C56" s="207"/>
      <c r="D56" s="207"/>
      <c r="E56" s="207"/>
      <c r="F56" s="207"/>
      <c r="G56" s="207"/>
      <c r="H56" s="207"/>
      <c r="I56" s="207"/>
    </row>
    <row r="57" spans="1:10">
      <c r="A57" s="207" t="s">
        <v>185</v>
      </c>
      <c r="B57" s="207"/>
      <c r="C57" s="207"/>
      <c r="D57" s="207"/>
      <c r="E57" s="207"/>
      <c r="F57" s="207"/>
      <c r="G57" s="207"/>
      <c r="H57" s="207"/>
      <c r="I57" s="207"/>
    </row>
    <row r="58" spans="1:10">
      <c r="A58" s="215" t="s">
        <v>193</v>
      </c>
      <c r="B58" s="215"/>
      <c r="C58" s="215"/>
      <c r="D58" s="215"/>
      <c r="E58" s="215"/>
      <c r="F58" s="215"/>
      <c r="G58" s="215"/>
      <c r="H58" s="215"/>
      <c r="I58" s="215"/>
    </row>
    <row r="59" spans="1:10" ht="65.25">
      <c r="A59" s="112" t="s">
        <v>143</v>
      </c>
      <c r="B59" s="112" t="s">
        <v>144</v>
      </c>
      <c r="C59" s="112" t="s">
        <v>145</v>
      </c>
      <c r="D59" s="155" t="s">
        <v>180</v>
      </c>
      <c r="E59" s="155" t="s">
        <v>178</v>
      </c>
      <c r="F59" s="155" t="s">
        <v>179</v>
      </c>
      <c r="G59" s="155" t="s">
        <v>3</v>
      </c>
      <c r="H59" s="111" t="s">
        <v>160</v>
      </c>
      <c r="I59" s="111" t="s">
        <v>154</v>
      </c>
      <c r="J59" s="112" t="s">
        <v>0</v>
      </c>
    </row>
    <row r="60" spans="1:10">
      <c r="A60" s="109" t="s">
        <v>148</v>
      </c>
      <c r="B60" s="109" t="s">
        <v>40</v>
      </c>
      <c r="C60" s="109" t="s">
        <v>147</v>
      </c>
      <c r="D60" s="108">
        <v>0</v>
      </c>
      <c r="E60" s="108"/>
      <c r="F60" s="108"/>
      <c r="G60" s="108">
        <f>D60+E60-F60</f>
        <v>0</v>
      </c>
      <c r="H60" s="108">
        <v>0</v>
      </c>
      <c r="I60" s="108">
        <v>0</v>
      </c>
      <c r="J60" s="107">
        <f>H60+I60</f>
        <v>0</v>
      </c>
    </row>
    <row r="61" spans="1:10">
      <c r="A61" s="109"/>
      <c r="B61" s="109" t="s">
        <v>41</v>
      </c>
      <c r="C61" s="109" t="s">
        <v>147</v>
      </c>
      <c r="D61" s="108">
        <v>2284400</v>
      </c>
      <c r="E61" s="108"/>
      <c r="F61" s="108">
        <v>5000</v>
      </c>
      <c r="G61" s="108">
        <f t="shared" ref="G61:G74" si="8">D61+E61-F61</f>
        <v>2279400</v>
      </c>
      <c r="H61" s="108">
        <f>21620+21620+21620</f>
        <v>64860</v>
      </c>
      <c r="I61" s="108">
        <v>0</v>
      </c>
      <c r="J61" s="107">
        <f t="shared" ref="J61:J74" si="9">H61+I61</f>
        <v>64860</v>
      </c>
    </row>
    <row r="62" spans="1:10">
      <c r="A62" s="109"/>
      <c r="B62" s="109"/>
      <c r="C62" s="156" t="s">
        <v>46</v>
      </c>
      <c r="D62" s="108"/>
      <c r="E62" s="108"/>
      <c r="F62" s="108"/>
      <c r="G62" s="108">
        <f t="shared" si="8"/>
        <v>0</v>
      </c>
      <c r="H62" s="108">
        <v>0</v>
      </c>
      <c r="I62" s="108">
        <v>167230</v>
      </c>
      <c r="J62" s="107">
        <f t="shared" si="9"/>
        <v>167230</v>
      </c>
    </row>
    <row r="63" spans="1:10">
      <c r="A63" s="109"/>
      <c r="B63" s="109" t="s">
        <v>37</v>
      </c>
      <c r="C63" s="109" t="s">
        <v>147</v>
      </c>
      <c r="D63" s="108">
        <v>0</v>
      </c>
      <c r="E63" s="108"/>
      <c r="F63" s="108"/>
      <c r="G63" s="108">
        <f t="shared" si="8"/>
        <v>0</v>
      </c>
      <c r="H63" s="108">
        <v>0</v>
      </c>
      <c r="I63" s="108">
        <v>0</v>
      </c>
      <c r="J63" s="107">
        <f t="shared" si="9"/>
        <v>0</v>
      </c>
    </row>
    <row r="64" spans="1:10">
      <c r="A64" s="109"/>
      <c r="B64" s="109" t="s">
        <v>24</v>
      </c>
      <c r="C64" s="109" t="s">
        <v>147</v>
      </c>
      <c r="D64" s="108">
        <v>1320000</v>
      </c>
      <c r="E64" s="108"/>
      <c r="F64" s="108"/>
      <c r="G64" s="108">
        <f t="shared" si="8"/>
        <v>1320000</v>
      </c>
      <c r="H64" s="108">
        <f>24860+26340+37484</f>
        <v>88684</v>
      </c>
      <c r="I64" s="108">
        <v>0</v>
      </c>
      <c r="J64" s="107">
        <f t="shared" si="9"/>
        <v>88684</v>
      </c>
    </row>
    <row r="65" spans="1:10">
      <c r="A65" s="109"/>
      <c r="B65" s="109"/>
      <c r="C65" s="156" t="s">
        <v>46</v>
      </c>
      <c r="D65" s="108"/>
      <c r="E65" s="108"/>
      <c r="F65" s="108"/>
      <c r="G65" s="108">
        <f t="shared" si="8"/>
        <v>0</v>
      </c>
      <c r="H65" s="108">
        <v>0</v>
      </c>
      <c r="I65" s="108">
        <v>67400</v>
      </c>
      <c r="J65" s="107">
        <f t="shared" si="9"/>
        <v>67400</v>
      </c>
    </row>
    <row r="66" spans="1:10">
      <c r="A66" s="109" t="s">
        <v>149</v>
      </c>
      <c r="B66" s="109" t="s">
        <v>27</v>
      </c>
      <c r="C66" s="109" t="s">
        <v>147</v>
      </c>
      <c r="D66" s="108">
        <v>109000</v>
      </c>
      <c r="E66" s="108"/>
      <c r="F66" s="108"/>
      <c r="G66" s="108">
        <f t="shared" si="8"/>
        <v>109000</v>
      </c>
      <c r="H66" s="108">
        <v>9000</v>
      </c>
      <c r="I66" s="108">
        <v>0</v>
      </c>
      <c r="J66" s="107">
        <f t="shared" si="9"/>
        <v>9000</v>
      </c>
    </row>
    <row r="67" spans="1:10">
      <c r="A67" s="109"/>
      <c r="B67" s="109" t="s">
        <v>7</v>
      </c>
      <c r="C67" s="109" t="s">
        <v>147</v>
      </c>
      <c r="D67" s="108">
        <f>740000+3201800</f>
        <v>3941800</v>
      </c>
      <c r="E67" s="108"/>
      <c r="F67" s="108"/>
      <c r="G67" s="108">
        <f t="shared" si="8"/>
        <v>3941800</v>
      </c>
      <c r="H67" s="108">
        <f>72900+9800+72000</f>
        <v>154700</v>
      </c>
      <c r="I67" s="108">
        <f>62399+447040+97891.48</f>
        <v>607330.48</v>
      </c>
      <c r="J67" s="107">
        <f t="shared" si="9"/>
        <v>762030.48</v>
      </c>
    </row>
    <row r="68" spans="1:10">
      <c r="A68" s="109"/>
      <c r="B68" s="109" t="s">
        <v>8</v>
      </c>
      <c r="C68" s="109" t="s">
        <v>147</v>
      </c>
      <c r="D68" s="108">
        <f>140000+2430000</f>
        <v>2570000</v>
      </c>
      <c r="E68" s="108"/>
      <c r="F68" s="108"/>
      <c r="G68" s="108">
        <f t="shared" si="8"/>
        <v>2570000</v>
      </c>
      <c r="H68" s="108">
        <f>1000+48658</f>
        <v>49658</v>
      </c>
      <c r="I68" s="108">
        <v>179385.26</v>
      </c>
      <c r="J68" s="107">
        <f t="shared" si="9"/>
        <v>229043.26</v>
      </c>
    </row>
    <row r="69" spans="1:10">
      <c r="A69" s="109"/>
      <c r="B69" s="109"/>
      <c r="C69" s="156" t="s">
        <v>46</v>
      </c>
      <c r="D69" s="108"/>
      <c r="E69" s="108"/>
      <c r="F69" s="108"/>
      <c r="G69" s="108">
        <f t="shared" si="8"/>
        <v>0</v>
      </c>
      <c r="H69" s="108">
        <v>0</v>
      </c>
      <c r="I69" s="108">
        <v>0</v>
      </c>
      <c r="J69" s="107">
        <f t="shared" si="9"/>
        <v>0</v>
      </c>
    </row>
    <row r="70" spans="1:10">
      <c r="A70" s="109"/>
      <c r="B70" s="109" t="s">
        <v>28</v>
      </c>
      <c r="C70" s="109" t="s">
        <v>147</v>
      </c>
      <c r="D70" s="108">
        <v>15000</v>
      </c>
      <c r="E70" s="108">
        <v>5000</v>
      </c>
      <c r="F70" s="108"/>
      <c r="G70" s="108">
        <f t="shared" si="8"/>
        <v>20000</v>
      </c>
      <c r="H70" s="108">
        <v>220</v>
      </c>
      <c r="I70" s="108">
        <v>0</v>
      </c>
      <c r="J70" s="107">
        <f t="shared" si="9"/>
        <v>220</v>
      </c>
    </row>
    <row r="71" spans="1:10">
      <c r="A71" s="109" t="s">
        <v>150</v>
      </c>
      <c r="B71" s="109" t="s">
        <v>20</v>
      </c>
      <c r="C71" s="109" t="s">
        <v>147</v>
      </c>
      <c r="D71" s="108">
        <v>120000</v>
      </c>
      <c r="E71" s="108"/>
      <c r="F71" s="108"/>
      <c r="G71" s="108">
        <f t="shared" si="8"/>
        <v>120000</v>
      </c>
      <c r="H71" s="108">
        <v>0</v>
      </c>
      <c r="I71" s="108">
        <v>0</v>
      </c>
      <c r="J71" s="107">
        <f t="shared" si="9"/>
        <v>0</v>
      </c>
    </row>
    <row r="72" spans="1:10">
      <c r="A72" s="109"/>
      <c r="B72" s="109" t="s">
        <v>25</v>
      </c>
      <c r="C72" s="109" t="s">
        <v>147</v>
      </c>
      <c r="D72" s="108">
        <v>600000</v>
      </c>
      <c r="E72" s="108"/>
      <c r="F72" s="108"/>
      <c r="G72" s="108">
        <f t="shared" si="8"/>
        <v>600000</v>
      </c>
      <c r="H72" s="108">
        <v>0</v>
      </c>
      <c r="I72" s="108">
        <v>0</v>
      </c>
      <c r="J72" s="107">
        <f t="shared" si="9"/>
        <v>0</v>
      </c>
    </row>
    <row r="73" spans="1:10">
      <c r="A73" s="109" t="s">
        <v>151</v>
      </c>
      <c r="B73" s="109" t="s">
        <v>36</v>
      </c>
      <c r="C73" s="109" t="s">
        <v>147</v>
      </c>
      <c r="D73" s="108">
        <v>0</v>
      </c>
      <c r="E73" s="108"/>
      <c r="F73" s="108"/>
      <c r="G73" s="108">
        <f t="shared" si="8"/>
        <v>0</v>
      </c>
      <c r="H73" s="108">
        <v>0</v>
      </c>
      <c r="I73" s="108">
        <v>0</v>
      </c>
      <c r="J73" s="107">
        <f t="shared" si="9"/>
        <v>0</v>
      </c>
    </row>
    <row r="74" spans="1:10">
      <c r="A74" s="109" t="s">
        <v>152</v>
      </c>
      <c r="B74" s="109" t="s">
        <v>29</v>
      </c>
      <c r="C74" s="109" t="s">
        <v>147</v>
      </c>
      <c r="D74" s="108">
        <v>3500000</v>
      </c>
      <c r="E74" s="108"/>
      <c r="F74" s="108"/>
      <c r="G74" s="108">
        <f t="shared" si="8"/>
        <v>3500000</v>
      </c>
      <c r="H74" s="108">
        <v>0</v>
      </c>
      <c r="I74" s="108">
        <v>0</v>
      </c>
      <c r="J74" s="107">
        <f t="shared" si="9"/>
        <v>0</v>
      </c>
    </row>
    <row r="75" spans="1:10">
      <c r="A75" s="212" t="s">
        <v>0</v>
      </c>
      <c r="B75" s="213"/>
      <c r="C75" s="214"/>
      <c r="D75" s="6">
        <f>SUM(D60:D74)</f>
        <v>14460200</v>
      </c>
      <c r="E75" s="6">
        <f t="shared" ref="E75:G75" si="10">SUM(E60:E74)</f>
        <v>5000</v>
      </c>
      <c r="F75" s="6">
        <f t="shared" si="10"/>
        <v>5000</v>
      </c>
      <c r="G75" s="6">
        <f t="shared" si="10"/>
        <v>14460200</v>
      </c>
      <c r="H75" s="6">
        <f>SUM(H60:H74)</f>
        <v>367122</v>
      </c>
      <c r="I75" s="6">
        <f>SUM(I60:I74)</f>
        <v>1021345.74</v>
      </c>
      <c r="J75" s="6">
        <f>SUM(J60:J74)</f>
        <v>1388467.74</v>
      </c>
    </row>
    <row r="76" spans="1:10">
      <c r="A76" s="1" t="s">
        <v>146</v>
      </c>
      <c r="B76" s="1"/>
      <c r="C76" s="1"/>
      <c r="D76" s="1"/>
      <c r="E76" s="1"/>
      <c r="F76" s="1"/>
      <c r="G76" s="1"/>
      <c r="H76" s="1"/>
      <c r="I76" s="1"/>
    </row>
    <row r="77" spans="1:10">
      <c r="A77" s="1"/>
      <c r="B77" s="1"/>
      <c r="C77" s="1"/>
      <c r="D77" s="1"/>
      <c r="E77" s="1"/>
      <c r="F77" s="1"/>
      <c r="G77" s="1"/>
      <c r="H77" s="1"/>
      <c r="I77" s="1"/>
    </row>
    <row r="78" spans="1:10">
      <c r="A78" s="207" t="s">
        <v>49</v>
      </c>
      <c r="B78" s="207"/>
      <c r="C78" s="207"/>
      <c r="D78" s="207"/>
      <c r="E78" s="207"/>
      <c r="F78" s="207"/>
      <c r="G78" s="207"/>
      <c r="H78" s="207"/>
      <c r="I78" s="207"/>
    </row>
    <row r="79" spans="1:10">
      <c r="A79" s="207" t="s">
        <v>186</v>
      </c>
      <c r="B79" s="207"/>
      <c r="C79" s="207"/>
      <c r="D79" s="207"/>
      <c r="E79" s="207"/>
      <c r="F79" s="207"/>
      <c r="G79" s="207"/>
      <c r="H79" s="207"/>
      <c r="I79" s="207"/>
    </row>
    <row r="80" spans="1:10">
      <c r="A80" s="215" t="s">
        <v>193</v>
      </c>
      <c r="B80" s="215"/>
      <c r="C80" s="215"/>
      <c r="D80" s="215"/>
      <c r="E80" s="215"/>
      <c r="F80" s="215"/>
      <c r="G80" s="215"/>
      <c r="H80" s="215"/>
      <c r="I80" s="215"/>
    </row>
    <row r="81" spans="1:9" ht="65.25">
      <c r="A81" s="112" t="s">
        <v>143</v>
      </c>
      <c r="B81" s="112" t="s">
        <v>144</v>
      </c>
      <c r="C81" s="112" t="s">
        <v>145</v>
      </c>
      <c r="D81" s="155" t="s">
        <v>180</v>
      </c>
      <c r="E81" s="155" t="s">
        <v>178</v>
      </c>
      <c r="F81" s="155" t="s">
        <v>179</v>
      </c>
      <c r="G81" s="155" t="s">
        <v>3</v>
      </c>
      <c r="H81" s="111" t="s">
        <v>155</v>
      </c>
      <c r="I81" s="112" t="s">
        <v>0</v>
      </c>
    </row>
    <row r="82" spans="1:9">
      <c r="A82" s="109" t="s">
        <v>148</v>
      </c>
      <c r="B82" s="109" t="s">
        <v>40</v>
      </c>
      <c r="C82" s="109" t="s">
        <v>147</v>
      </c>
      <c r="D82" s="108">
        <v>0</v>
      </c>
      <c r="E82" s="108"/>
      <c r="F82" s="108"/>
      <c r="G82" s="108">
        <f>D82+E82-F82</f>
        <v>0</v>
      </c>
      <c r="H82" s="108"/>
      <c r="I82" s="108">
        <f>H82</f>
        <v>0</v>
      </c>
    </row>
    <row r="83" spans="1:9">
      <c r="A83" s="109"/>
      <c r="B83" s="109" t="s">
        <v>41</v>
      </c>
      <c r="C83" s="109" t="s">
        <v>147</v>
      </c>
      <c r="D83" s="108">
        <v>1100950</v>
      </c>
      <c r="E83" s="108"/>
      <c r="F83" s="108"/>
      <c r="G83" s="108">
        <f>D83+E83-F83</f>
        <v>1100950</v>
      </c>
      <c r="H83" s="108">
        <v>240270</v>
      </c>
      <c r="I83" s="108">
        <f t="shared" ref="I83:I93" si="11">H83</f>
        <v>240270</v>
      </c>
    </row>
    <row r="84" spans="1:9">
      <c r="A84" s="109"/>
      <c r="B84" s="109" t="s">
        <v>37</v>
      </c>
      <c r="C84" s="109" t="s">
        <v>147</v>
      </c>
      <c r="D84" s="108">
        <v>0</v>
      </c>
      <c r="E84" s="108"/>
      <c r="F84" s="108"/>
      <c r="G84" s="108">
        <f t="shared" ref="G84:G94" si="12">D84+E84-F84</f>
        <v>0</v>
      </c>
      <c r="H84" s="108"/>
      <c r="I84" s="108">
        <f t="shared" si="11"/>
        <v>0</v>
      </c>
    </row>
    <row r="85" spans="1:9">
      <c r="A85" s="109"/>
      <c r="B85" s="109" t="s">
        <v>24</v>
      </c>
      <c r="C85" s="109" t="s">
        <v>147</v>
      </c>
      <c r="D85" s="108">
        <v>1489100</v>
      </c>
      <c r="E85" s="108"/>
      <c r="F85" s="108"/>
      <c r="G85" s="108">
        <f t="shared" si="12"/>
        <v>1489100</v>
      </c>
      <c r="H85" s="108">
        <v>203055</v>
      </c>
      <c r="I85" s="108">
        <f t="shared" si="11"/>
        <v>203055</v>
      </c>
    </row>
    <row r="86" spans="1:9">
      <c r="A86" s="109" t="s">
        <v>149</v>
      </c>
      <c r="B86" s="109" t="s">
        <v>27</v>
      </c>
      <c r="C86" s="109" t="s">
        <v>147</v>
      </c>
      <c r="D86" s="108">
        <v>172600</v>
      </c>
      <c r="E86" s="108"/>
      <c r="F86" s="108"/>
      <c r="G86" s="108">
        <f t="shared" si="12"/>
        <v>172600</v>
      </c>
      <c r="H86" s="108">
        <v>18720</v>
      </c>
      <c r="I86" s="108">
        <f t="shared" si="11"/>
        <v>18720</v>
      </c>
    </row>
    <row r="87" spans="1:9">
      <c r="A87" s="109"/>
      <c r="B87" s="109" t="s">
        <v>7</v>
      </c>
      <c r="C87" s="109" t="s">
        <v>147</v>
      </c>
      <c r="D87" s="108">
        <v>1650000</v>
      </c>
      <c r="E87" s="108"/>
      <c r="F87" s="108"/>
      <c r="G87" s="108">
        <f t="shared" si="12"/>
        <v>1650000</v>
      </c>
      <c r="H87" s="108">
        <v>195259.83</v>
      </c>
      <c r="I87" s="108">
        <f t="shared" si="11"/>
        <v>195259.83</v>
      </c>
    </row>
    <row r="88" spans="1:9">
      <c r="A88" s="109"/>
      <c r="B88" s="109" t="s">
        <v>8</v>
      </c>
      <c r="C88" s="109" t="s">
        <v>147</v>
      </c>
      <c r="D88" s="108">
        <v>930000</v>
      </c>
      <c r="E88" s="108"/>
      <c r="F88" s="108"/>
      <c r="G88" s="108">
        <f t="shared" si="12"/>
        <v>930000</v>
      </c>
      <c r="H88" s="108">
        <v>55229</v>
      </c>
      <c r="I88" s="108">
        <f t="shared" si="11"/>
        <v>55229</v>
      </c>
    </row>
    <row r="89" spans="1:9">
      <c r="A89" s="109"/>
      <c r="B89" s="109" t="s">
        <v>28</v>
      </c>
      <c r="C89" s="109" t="s">
        <v>147</v>
      </c>
      <c r="D89" s="108">
        <v>5000</v>
      </c>
      <c r="E89" s="108"/>
      <c r="F89" s="108"/>
      <c r="G89" s="108">
        <f t="shared" si="12"/>
        <v>5000</v>
      </c>
      <c r="H89" s="108"/>
      <c r="I89" s="108">
        <f t="shared" si="11"/>
        <v>0</v>
      </c>
    </row>
    <row r="90" spans="1:9">
      <c r="A90" s="109" t="s">
        <v>150</v>
      </c>
      <c r="B90" s="109" t="s">
        <v>20</v>
      </c>
      <c r="C90" s="109" t="s">
        <v>147</v>
      </c>
      <c r="D90" s="108">
        <v>41400</v>
      </c>
      <c r="E90" s="108"/>
      <c r="F90" s="108"/>
      <c r="G90" s="108">
        <f t="shared" si="12"/>
        <v>41400</v>
      </c>
      <c r="H90" s="108"/>
      <c r="I90" s="108">
        <f t="shared" si="11"/>
        <v>0</v>
      </c>
    </row>
    <row r="91" spans="1:9">
      <c r="A91" s="109"/>
      <c r="B91" s="109" t="s">
        <v>25</v>
      </c>
      <c r="C91" s="109" t="s">
        <v>147</v>
      </c>
      <c r="D91" s="108">
        <v>469300</v>
      </c>
      <c r="E91" s="108"/>
      <c r="F91" s="108"/>
      <c r="G91" s="108">
        <f t="shared" si="12"/>
        <v>469300</v>
      </c>
      <c r="H91" s="108"/>
      <c r="I91" s="108">
        <f t="shared" si="11"/>
        <v>0</v>
      </c>
    </row>
    <row r="92" spans="1:9">
      <c r="A92" s="109" t="s">
        <v>151</v>
      </c>
      <c r="B92" s="109" t="s">
        <v>36</v>
      </c>
      <c r="C92" s="109" t="s">
        <v>147</v>
      </c>
      <c r="D92" s="108"/>
      <c r="E92" s="108"/>
      <c r="F92" s="108"/>
      <c r="G92" s="108">
        <f t="shared" si="12"/>
        <v>0</v>
      </c>
      <c r="H92" s="108"/>
      <c r="I92" s="108">
        <f t="shared" si="11"/>
        <v>0</v>
      </c>
    </row>
    <row r="93" spans="1:9">
      <c r="A93" s="109" t="s">
        <v>152</v>
      </c>
      <c r="B93" s="109" t="s">
        <v>29</v>
      </c>
      <c r="C93" s="109" t="s">
        <v>147</v>
      </c>
      <c r="D93" s="108">
        <v>150000</v>
      </c>
      <c r="E93" s="108"/>
      <c r="F93" s="108"/>
      <c r="G93" s="108">
        <f t="shared" si="12"/>
        <v>150000</v>
      </c>
      <c r="H93" s="108"/>
      <c r="I93" s="108">
        <f t="shared" si="11"/>
        <v>0</v>
      </c>
    </row>
    <row r="94" spans="1:9">
      <c r="A94" s="212" t="s">
        <v>0</v>
      </c>
      <c r="B94" s="213"/>
      <c r="C94" s="214"/>
      <c r="D94" s="6">
        <f>SUM(D82:D93)</f>
        <v>6008350</v>
      </c>
      <c r="E94" s="6">
        <f t="shared" ref="E94:F94" si="13">SUM(E82:E93)</f>
        <v>0</v>
      </c>
      <c r="F94" s="6">
        <f t="shared" si="13"/>
        <v>0</v>
      </c>
      <c r="G94" s="108">
        <f t="shared" si="12"/>
        <v>6008350</v>
      </c>
      <c r="H94" s="6">
        <f>SUM(H82:H93)</f>
        <v>712533.83</v>
      </c>
      <c r="I94" s="6">
        <f>SUM(I82:I93)</f>
        <v>712533.83</v>
      </c>
    </row>
    <row r="95" spans="1:9">
      <c r="A95" s="1" t="s">
        <v>146</v>
      </c>
      <c r="B95" s="1"/>
      <c r="C95" s="1"/>
      <c r="D95" s="1"/>
      <c r="E95" s="1"/>
      <c r="F95" s="1"/>
      <c r="G95" s="1"/>
      <c r="H95" s="1"/>
      <c r="I95" s="1"/>
    </row>
    <row r="96" spans="1:9">
      <c r="A96" s="1"/>
      <c r="B96" s="1"/>
      <c r="C96" s="1"/>
      <c r="D96" s="1"/>
      <c r="E96" s="1"/>
      <c r="F96" s="1"/>
      <c r="G96" s="1"/>
      <c r="H96" s="1"/>
      <c r="I96" s="1"/>
    </row>
    <row r="97" spans="1:9">
      <c r="A97" s="207" t="s">
        <v>49</v>
      </c>
      <c r="B97" s="207"/>
      <c r="C97" s="207"/>
      <c r="D97" s="207"/>
      <c r="E97" s="207"/>
      <c r="F97" s="207"/>
      <c r="G97" s="207"/>
      <c r="H97" s="207"/>
      <c r="I97" s="207"/>
    </row>
    <row r="98" spans="1:9">
      <c r="A98" s="207" t="s">
        <v>187</v>
      </c>
      <c r="B98" s="207"/>
      <c r="C98" s="207"/>
      <c r="D98" s="207"/>
      <c r="E98" s="207"/>
      <c r="F98" s="207"/>
      <c r="G98" s="207"/>
      <c r="H98" s="207"/>
      <c r="I98" s="207"/>
    </row>
    <row r="99" spans="1:9">
      <c r="A99" s="215" t="s">
        <v>193</v>
      </c>
      <c r="B99" s="215"/>
      <c r="C99" s="215"/>
      <c r="D99" s="215"/>
      <c r="E99" s="215"/>
      <c r="F99" s="215"/>
      <c r="G99" s="215"/>
      <c r="H99" s="215"/>
      <c r="I99" s="215"/>
    </row>
    <row r="100" spans="1:9" ht="65.25">
      <c r="A100" s="112" t="s">
        <v>143</v>
      </c>
      <c r="B100" s="112" t="s">
        <v>144</v>
      </c>
      <c r="C100" s="112" t="s">
        <v>145</v>
      </c>
      <c r="D100" s="155" t="s">
        <v>180</v>
      </c>
      <c r="E100" s="155" t="s">
        <v>178</v>
      </c>
      <c r="F100" s="155" t="s">
        <v>179</v>
      </c>
      <c r="G100" s="155" t="s">
        <v>3</v>
      </c>
      <c r="H100" s="111" t="s">
        <v>156</v>
      </c>
      <c r="I100" s="112" t="s">
        <v>0</v>
      </c>
    </row>
    <row r="101" spans="1:9">
      <c r="A101" s="109" t="s">
        <v>148</v>
      </c>
      <c r="B101" s="109" t="s">
        <v>40</v>
      </c>
      <c r="C101" s="109" t="s">
        <v>147</v>
      </c>
      <c r="D101" s="108">
        <v>0</v>
      </c>
      <c r="E101" s="108"/>
      <c r="F101" s="108"/>
      <c r="G101" s="108">
        <f>D101+E101-F101</f>
        <v>0</v>
      </c>
      <c r="H101" s="108">
        <v>0</v>
      </c>
      <c r="I101" s="108">
        <f>H101</f>
        <v>0</v>
      </c>
    </row>
    <row r="102" spans="1:9">
      <c r="A102" s="109"/>
      <c r="B102" s="109" t="s">
        <v>41</v>
      </c>
      <c r="C102" s="109" t="s">
        <v>147</v>
      </c>
      <c r="D102" s="108">
        <v>292000</v>
      </c>
      <c r="E102" s="108"/>
      <c r="F102" s="108"/>
      <c r="G102" s="108">
        <f t="shared" ref="G102:G112" si="14">D102+E102-F102</f>
        <v>292000</v>
      </c>
      <c r="H102" s="108">
        <v>66120</v>
      </c>
      <c r="I102" s="108">
        <f t="shared" ref="I102:I112" si="15">H102</f>
        <v>66120</v>
      </c>
    </row>
    <row r="103" spans="1:9">
      <c r="A103" s="109"/>
      <c r="B103" s="109" t="s">
        <v>37</v>
      </c>
      <c r="C103" s="109" t="s">
        <v>147</v>
      </c>
      <c r="D103" s="108">
        <v>236000</v>
      </c>
      <c r="E103" s="108"/>
      <c r="F103" s="108"/>
      <c r="G103" s="108">
        <f t="shared" si="14"/>
        <v>236000</v>
      </c>
      <c r="H103" s="108"/>
      <c r="I103" s="108">
        <f t="shared" si="15"/>
        <v>0</v>
      </c>
    </row>
    <row r="104" spans="1:9">
      <c r="A104" s="109"/>
      <c r="B104" s="109" t="s">
        <v>24</v>
      </c>
      <c r="C104" s="109" t="s">
        <v>147</v>
      </c>
      <c r="D104" s="108"/>
      <c r="E104" s="108"/>
      <c r="F104" s="108"/>
      <c r="G104" s="108">
        <f t="shared" si="14"/>
        <v>0</v>
      </c>
      <c r="H104" s="108">
        <v>55290</v>
      </c>
      <c r="I104" s="108">
        <f t="shared" si="15"/>
        <v>55290</v>
      </c>
    </row>
    <row r="105" spans="1:9">
      <c r="A105" s="109" t="s">
        <v>149</v>
      </c>
      <c r="B105" s="109" t="s">
        <v>27</v>
      </c>
      <c r="C105" s="109" t="s">
        <v>147</v>
      </c>
      <c r="D105" s="108"/>
      <c r="E105" s="108"/>
      <c r="F105" s="108"/>
      <c r="G105" s="108">
        <f t="shared" si="14"/>
        <v>0</v>
      </c>
      <c r="H105" s="108"/>
      <c r="I105" s="108">
        <f t="shared" si="15"/>
        <v>0</v>
      </c>
    </row>
    <row r="106" spans="1:9">
      <c r="A106" s="109"/>
      <c r="B106" s="109" t="s">
        <v>7</v>
      </c>
      <c r="C106" s="109" t="s">
        <v>147</v>
      </c>
      <c r="D106" s="108">
        <v>300000</v>
      </c>
      <c r="E106" s="108"/>
      <c r="F106" s="108"/>
      <c r="G106" s="108">
        <f t="shared" si="14"/>
        <v>300000</v>
      </c>
      <c r="H106" s="108"/>
      <c r="I106" s="108">
        <f t="shared" si="15"/>
        <v>0</v>
      </c>
    </row>
    <row r="107" spans="1:9">
      <c r="A107" s="109"/>
      <c r="B107" s="109" t="s">
        <v>8</v>
      </c>
      <c r="C107" s="109" t="s">
        <v>147</v>
      </c>
      <c r="D107" s="108">
        <v>0</v>
      </c>
      <c r="E107" s="108"/>
      <c r="F107" s="108"/>
      <c r="G107" s="108">
        <f t="shared" si="14"/>
        <v>0</v>
      </c>
      <c r="H107" s="108"/>
      <c r="I107" s="108">
        <f t="shared" si="15"/>
        <v>0</v>
      </c>
    </row>
    <row r="108" spans="1:9">
      <c r="A108" s="109"/>
      <c r="B108" s="109" t="s">
        <v>28</v>
      </c>
      <c r="C108" s="109" t="s">
        <v>147</v>
      </c>
      <c r="D108" s="108">
        <v>0</v>
      </c>
      <c r="E108" s="108"/>
      <c r="F108" s="108"/>
      <c r="G108" s="108">
        <f t="shared" si="14"/>
        <v>0</v>
      </c>
      <c r="H108" s="108">
        <v>0</v>
      </c>
      <c r="I108" s="108">
        <f t="shared" si="15"/>
        <v>0</v>
      </c>
    </row>
    <row r="109" spans="1:9">
      <c r="A109" s="109" t="s">
        <v>150</v>
      </c>
      <c r="B109" s="109" t="s">
        <v>20</v>
      </c>
      <c r="C109" s="109" t="s">
        <v>147</v>
      </c>
      <c r="D109" s="108">
        <v>0</v>
      </c>
      <c r="E109" s="108"/>
      <c r="F109" s="108"/>
      <c r="G109" s="108">
        <f t="shared" si="14"/>
        <v>0</v>
      </c>
      <c r="H109" s="108">
        <v>0</v>
      </c>
      <c r="I109" s="108">
        <f t="shared" si="15"/>
        <v>0</v>
      </c>
    </row>
    <row r="110" spans="1:9">
      <c r="A110" s="109"/>
      <c r="B110" s="109" t="s">
        <v>25</v>
      </c>
      <c r="C110" s="109" t="s">
        <v>147</v>
      </c>
      <c r="D110" s="108">
        <v>0</v>
      </c>
      <c r="E110" s="108"/>
      <c r="F110" s="108"/>
      <c r="G110" s="108">
        <f t="shared" si="14"/>
        <v>0</v>
      </c>
      <c r="H110" s="108">
        <v>0</v>
      </c>
      <c r="I110" s="108">
        <f t="shared" si="15"/>
        <v>0</v>
      </c>
    </row>
    <row r="111" spans="1:9">
      <c r="A111" s="109" t="s">
        <v>151</v>
      </c>
      <c r="B111" s="109" t="s">
        <v>36</v>
      </c>
      <c r="C111" s="109" t="s">
        <v>147</v>
      </c>
      <c r="D111" s="108">
        <v>0</v>
      </c>
      <c r="E111" s="108"/>
      <c r="F111" s="108"/>
      <c r="G111" s="108">
        <f t="shared" si="14"/>
        <v>0</v>
      </c>
      <c r="H111" s="108">
        <v>0</v>
      </c>
      <c r="I111" s="108">
        <f t="shared" si="15"/>
        <v>0</v>
      </c>
    </row>
    <row r="112" spans="1:9">
      <c r="A112" s="109" t="s">
        <v>152</v>
      </c>
      <c r="B112" s="109" t="s">
        <v>29</v>
      </c>
      <c r="C112" s="109" t="s">
        <v>147</v>
      </c>
      <c r="D112" s="108">
        <v>10000</v>
      </c>
      <c r="E112" s="108"/>
      <c r="F112" s="108"/>
      <c r="G112" s="108">
        <f t="shared" si="14"/>
        <v>10000</v>
      </c>
      <c r="H112" s="108">
        <v>10000</v>
      </c>
      <c r="I112" s="108">
        <f t="shared" si="15"/>
        <v>10000</v>
      </c>
    </row>
    <row r="113" spans="1:9">
      <c r="A113" s="212" t="s">
        <v>0</v>
      </c>
      <c r="B113" s="213"/>
      <c r="C113" s="214"/>
      <c r="D113" s="6">
        <f>SUM(D101:D112)</f>
        <v>838000</v>
      </c>
      <c r="E113" s="6">
        <f t="shared" ref="E113:F113" si="16">SUM(E101:E112)</f>
        <v>0</v>
      </c>
      <c r="F113" s="6">
        <f t="shared" si="16"/>
        <v>0</v>
      </c>
      <c r="G113" s="108">
        <f>D113+E113-F113</f>
        <v>838000</v>
      </c>
      <c r="H113" s="6">
        <f>SUM(H101:H112)</f>
        <v>131410</v>
      </c>
      <c r="I113" s="6">
        <f>SUM(I101:I112)</f>
        <v>131410</v>
      </c>
    </row>
    <row r="114" spans="1:9">
      <c r="A114" s="1" t="s">
        <v>146</v>
      </c>
      <c r="B114" s="1"/>
      <c r="C114" s="1"/>
      <c r="D114" s="1"/>
      <c r="E114" s="1"/>
      <c r="F114" s="1"/>
      <c r="G114" s="1"/>
      <c r="H114" s="1"/>
      <c r="I114" s="1"/>
    </row>
    <row r="115" spans="1:9">
      <c r="A115" s="1"/>
      <c r="B115" s="1"/>
      <c r="C115" s="1"/>
      <c r="D115" s="1"/>
      <c r="E115" s="1"/>
      <c r="F115" s="1"/>
      <c r="G115" s="1"/>
      <c r="H115" s="1"/>
      <c r="I115" s="1"/>
    </row>
    <row r="116" spans="1:9">
      <c r="A116" s="207" t="s">
        <v>49</v>
      </c>
      <c r="B116" s="207"/>
      <c r="C116" s="207"/>
      <c r="D116" s="207"/>
      <c r="E116" s="207"/>
      <c r="F116" s="207"/>
      <c r="G116" s="207"/>
      <c r="H116" s="207"/>
      <c r="I116" s="207"/>
    </row>
    <row r="117" spans="1:9">
      <c r="A117" s="207" t="s">
        <v>188</v>
      </c>
      <c r="B117" s="207"/>
      <c r="C117" s="207"/>
      <c r="D117" s="207"/>
      <c r="E117" s="207"/>
      <c r="F117" s="207"/>
      <c r="G117" s="207"/>
      <c r="H117" s="207"/>
      <c r="I117" s="207"/>
    </row>
    <row r="118" spans="1:9">
      <c r="A118" s="215" t="s">
        <v>193</v>
      </c>
      <c r="B118" s="215"/>
      <c r="C118" s="215"/>
      <c r="D118" s="215"/>
      <c r="E118" s="215"/>
      <c r="F118" s="215"/>
      <c r="G118" s="215"/>
      <c r="H118" s="215"/>
      <c r="I118" s="215"/>
    </row>
    <row r="119" spans="1:9" ht="65.25">
      <c r="A119" s="112" t="s">
        <v>143</v>
      </c>
      <c r="B119" s="112" t="s">
        <v>144</v>
      </c>
      <c r="C119" s="112" t="s">
        <v>145</v>
      </c>
      <c r="D119" s="155" t="s">
        <v>180</v>
      </c>
      <c r="E119" s="155" t="s">
        <v>178</v>
      </c>
      <c r="F119" s="155" t="s">
        <v>179</v>
      </c>
      <c r="G119" s="155" t="s">
        <v>3</v>
      </c>
      <c r="H119" s="111" t="s">
        <v>157</v>
      </c>
      <c r="I119" s="112" t="s">
        <v>0</v>
      </c>
    </row>
    <row r="120" spans="1:9">
      <c r="A120" s="109" t="s">
        <v>148</v>
      </c>
      <c r="B120" s="109" t="s">
        <v>40</v>
      </c>
      <c r="C120" s="109" t="s">
        <v>147</v>
      </c>
      <c r="D120" s="108">
        <v>0</v>
      </c>
      <c r="E120" s="108"/>
      <c r="F120" s="108"/>
      <c r="G120" s="108">
        <f>D120+E120-F120</f>
        <v>0</v>
      </c>
      <c r="H120" s="108">
        <v>0</v>
      </c>
      <c r="I120" s="108">
        <f>H120</f>
        <v>0</v>
      </c>
    </row>
    <row r="121" spans="1:9">
      <c r="A121" s="109"/>
      <c r="B121" s="109" t="s">
        <v>41</v>
      </c>
      <c r="C121" s="109" t="s">
        <v>147</v>
      </c>
      <c r="D121" s="108">
        <v>2798630</v>
      </c>
      <c r="E121" s="108"/>
      <c r="F121" s="108">
        <f>30000+50000</f>
        <v>80000</v>
      </c>
      <c r="G121" s="108">
        <f t="shared" ref="G121:G135" si="17">D121+E121-F121</f>
        <v>2718630</v>
      </c>
      <c r="H121" s="108">
        <v>483900</v>
      </c>
      <c r="I121" s="108">
        <f t="shared" ref="I121:I134" si="18">H121</f>
        <v>483900</v>
      </c>
    </row>
    <row r="122" spans="1:9">
      <c r="A122" s="109"/>
      <c r="B122" s="109"/>
      <c r="C122" s="156" t="s">
        <v>46</v>
      </c>
      <c r="D122" s="108"/>
      <c r="E122" s="108"/>
      <c r="F122" s="108"/>
      <c r="G122" s="108">
        <f t="shared" si="17"/>
        <v>0</v>
      </c>
      <c r="H122" s="108">
        <v>82470</v>
      </c>
      <c r="I122" s="108">
        <f t="shared" si="18"/>
        <v>82470</v>
      </c>
    </row>
    <row r="123" spans="1:9">
      <c r="A123" s="109"/>
      <c r="B123" s="109" t="s">
        <v>37</v>
      </c>
      <c r="C123" s="109" t="s">
        <v>147</v>
      </c>
      <c r="D123" s="108">
        <v>0</v>
      </c>
      <c r="E123" s="108"/>
      <c r="F123" s="108"/>
      <c r="G123" s="108">
        <f t="shared" si="17"/>
        <v>0</v>
      </c>
      <c r="H123" s="108"/>
      <c r="I123" s="108">
        <f t="shared" si="18"/>
        <v>0</v>
      </c>
    </row>
    <row r="124" spans="1:9">
      <c r="A124" s="109"/>
      <c r="B124" s="109" t="s">
        <v>24</v>
      </c>
      <c r="C124" s="109" t="s">
        <v>147</v>
      </c>
      <c r="D124" s="108">
        <v>996510</v>
      </c>
      <c r="E124" s="108"/>
      <c r="F124" s="108"/>
      <c r="G124" s="108">
        <f t="shared" si="17"/>
        <v>996510</v>
      </c>
      <c r="H124" s="108">
        <v>198330</v>
      </c>
      <c r="I124" s="108">
        <f t="shared" si="18"/>
        <v>198330</v>
      </c>
    </row>
    <row r="125" spans="1:9">
      <c r="A125" s="109" t="s">
        <v>149</v>
      </c>
      <c r="B125" s="109" t="s">
        <v>27</v>
      </c>
      <c r="C125" s="109" t="s">
        <v>147</v>
      </c>
      <c r="D125" s="108">
        <v>155000</v>
      </c>
      <c r="E125" s="108"/>
      <c r="F125" s="108"/>
      <c r="G125" s="108">
        <f t="shared" si="17"/>
        <v>155000</v>
      </c>
      <c r="H125" s="108">
        <v>32930</v>
      </c>
      <c r="I125" s="108">
        <f t="shared" si="18"/>
        <v>32930</v>
      </c>
    </row>
    <row r="126" spans="1:9">
      <c r="A126" s="109"/>
      <c r="B126" s="109"/>
      <c r="C126" s="156" t="s">
        <v>46</v>
      </c>
      <c r="D126" s="108"/>
      <c r="E126" s="108"/>
      <c r="F126" s="108"/>
      <c r="G126" s="108">
        <f t="shared" si="17"/>
        <v>0</v>
      </c>
      <c r="H126" s="108">
        <v>3740</v>
      </c>
      <c r="I126" s="108">
        <f t="shared" si="18"/>
        <v>3740</v>
      </c>
    </row>
    <row r="127" spans="1:9">
      <c r="A127" s="109"/>
      <c r="B127" s="109" t="s">
        <v>7</v>
      </c>
      <c r="C127" s="109" t="s">
        <v>147</v>
      </c>
      <c r="D127" s="108">
        <v>740000</v>
      </c>
      <c r="E127" s="108">
        <v>100000</v>
      </c>
      <c r="F127" s="108">
        <v>50000</v>
      </c>
      <c r="G127" s="108">
        <f t="shared" si="17"/>
        <v>790000</v>
      </c>
      <c r="H127" s="108">
        <v>640408.73</v>
      </c>
      <c r="I127" s="108">
        <f t="shared" si="18"/>
        <v>640408.73</v>
      </c>
    </row>
    <row r="128" spans="1:9">
      <c r="A128" s="109"/>
      <c r="B128" s="109" t="s">
        <v>8</v>
      </c>
      <c r="C128" s="109" t="s">
        <v>147</v>
      </c>
      <c r="D128" s="108">
        <v>590000</v>
      </c>
      <c r="E128" s="108">
        <v>30000</v>
      </c>
      <c r="F128" s="108"/>
      <c r="G128" s="108">
        <f t="shared" si="17"/>
        <v>620000</v>
      </c>
      <c r="H128" s="108">
        <v>120780</v>
      </c>
      <c r="I128" s="108">
        <f t="shared" si="18"/>
        <v>120780</v>
      </c>
    </row>
    <row r="129" spans="1:9">
      <c r="A129" s="109"/>
      <c r="B129" s="109" t="s">
        <v>28</v>
      </c>
      <c r="C129" s="109" t="s">
        <v>147</v>
      </c>
      <c r="D129" s="108">
        <v>5000</v>
      </c>
      <c r="E129" s="108"/>
      <c r="F129" s="108"/>
      <c r="G129" s="108">
        <f t="shared" si="17"/>
        <v>5000</v>
      </c>
      <c r="H129" s="108"/>
      <c r="I129" s="108">
        <f t="shared" si="18"/>
        <v>0</v>
      </c>
    </row>
    <row r="130" spans="1:9">
      <c r="A130" s="109" t="s">
        <v>150</v>
      </c>
      <c r="B130" s="109" t="s">
        <v>20</v>
      </c>
      <c r="C130" s="109" t="s">
        <v>147</v>
      </c>
      <c r="D130" s="108">
        <v>21000</v>
      </c>
      <c r="E130" s="108"/>
      <c r="F130" s="108"/>
      <c r="G130" s="108">
        <f t="shared" si="17"/>
        <v>21000</v>
      </c>
      <c r="H130" s="108">
        <v>0</v>
      </c>
      <c r="I130" s="108">
        <f t="shared" si="18"/>
        <v>0</v>
      </c>
    </row>
    <row r="131" spans="1:9">
      <c r="A131" s="109"/>
      <c r="B131" s="109" t="s">
        <v>25</v>
      </c>
      <c r="C131" s="109" t="s">
        <v>147</v>
      </c>
      <c r="D131" s="108">
        <v>7062900</v>
      </c>
      <c r="E131" s="108"/>
      <c r="F131" s="108"/>
      <c r="G131" s="108">
        <f t="shared" si="17"/>
        <v>7062900</v>
      </c>
      <c r="H131" s="108"/>
      <c r="I131" s="108">
        <f t="shared" si="18"/>
        <v>0</v>
      </c>
    </row>
    <row r="132" spans="1:9">
      <c r="A132" s="109"/>
      <c r="B132" s="109"/>
      <c r="C132" s="156" t="s">
        <v>46</v>
      </c>
      <c r="D132" s="108"/>
      <c r="E132" s="108"/>
      <c r="F132" s="108"/>
      <c r="G132" s="108">
        <f t="shared" si="17"/>
        <v>0</v>
      </c>
      <c r="H132" s="108"/>
      <c r="I132" s="108">
        <f t="shared" si="18"/>
        <v>0</v>
      </c>
    </row>
    <row r="133" spans="1:9">
      <c r="A133" s="109" t="s">
        <v>151</v>
      </c>
      <c r="B133" s="109" t="s">
        <v>36</v>
      </c>
      <c r="C133" s="109" t="s">
        <v>147</v>
      </c>
      <c r="D133" s="108">
        <v>0</v>
      </c>
      <c r="E133" s="108"/>
      <c r="F133" s="108"/>
      <c r="G133" s="108">
        <f t="shared" si="17"/>
        <v>0</v>
      </c>
      <c r="H133" s="108"/>
      <c r="I133" s="108">
        <f t="shared" si="18"/>
        <v>0</v>
      </c>
    </row>
    <row r="134" spans="1:9">
      <c r="A134" s="109" t="s">
        <v>152</v>
      </c>
      <c r="B134" s="109" t="s">
        <v>29</v>
      </c>
      <c r="C134" s="109" t="s">
        <v>147</v>
      </c>
      <c r="D134" s="108">
        <v>1600000</v>
      </c>
      <c r="E134" s="108"/>
      <c r="F134" s="108"/>
      <c r="G134" s="108">
        <f t="shared" si="17"/>
        <v>1600000</v>
      </c>
      <c r="H134" s="108"/>
      <c r="I134" s="108">
        <f t="shared" si="18"/>
        <v>0</v>
      </c>
    </row>
    <row r="135" spans="1:9">
      <c r="A135" s="212" t="s">
        <v>0</v>
      </c>
      <c r="B135" s="213"/>
      <c r="C135" s="214"/>
      <c r="D135" s="6">
        <f>SUM(D120:D134)</f>
        <v>13969040</v>
      </c>
      <c r="E135" s="181">
        <f t="shared" ref="E135:F135" si="19">SUM(E120:E134)</f>
        <v>130000</v>
      </c>
      <c r="F135" s="181">
        <f t="shared" si="19"/>
        <v>130000</v>
      </c>
      <c r="G135" s="108">
        <f t="shared" si="17"/>
        <v>13969040</v>
      </c>
      <c r="H135" s="6">
        <f>SUM(H120:H134)</f>
        <v>1562558.73</v>
      </c>
      <c r="I135" s="6">
        <f>SUM(I120:I134)</f>
        <v>1562558.73</v>
      </c>
    </row>
    <row r="136" spans="1:9">
      <c r="A136" s="1" t="s">
        <v>146</v>
      </c>
      <c r="B136" s="1"/>
      <c r="C136" s="1"/>
      <c r="D136" s="1"/>
      <c r="E136" s="1"/>
      <c r="F136" s="1"/>
      <c r="G136" s="1"/>
      <c r="H136" s="1"/>
      <c r="I136" s="1"/>
    </row>
    <row r="137" spans="1:9">
      <c r="A137" s="1"/>
      <c r="B137" s="1"/>
      <c r="C137" s="1"/>
      <c r="D137" s="1"/>
      <c r="E137" s="1"/>
      <c r="F137" s="1"/>
      <c r="G137" s="1"/>
      <c r="H137" s="1"/>
      <c r="I137" s="1"/>
    </row>
    <row r="138" spans="1:9">
      <c r="A138" s="207" t="s">
        <v>49</v>
      </c>
      <c r="B138" s="207"/>
      <c r="C138" s="207"/>
      <c r="D138" s="207"/>
      <c r="E138" s="207"/>
      <c r="F138" s="207"/>
      <c r="G138" s="207"/>
      <c r="H138" s="207"/>
      <c r="I138" s="207"/>
    </row>
    <row r="139" spans="1:9">
      <c r="A139" s="207" t="s">
        <v>189</v>
      </c>
      <c r="B139" s="207"/>
      <c r="C139" s="207"/>
      <c r="D139" s="207"/>
      <c r="E139" s="207"/>
      <c r="F139" s="207"/>
      <c r="G139" s="207"/>
      <c r="H139" s="207"/>
      <c r="I139" s="207"/>
    </row>
    <row r="140" spans="1:9">
      <c r="A140" s="215" t="s">
        <v>193</v>
      </c>
      <c r="B140" s="215"/>
      <c r="C140" s="215"/>
      <c r="D140" s="215"/>
      <c r="E140" s="215"/>
      <c r="F140" s="215"/>
      <c r="G140" s="215"/>
      <c r="H140" s="215"/>
      <c r="I140" s="215"/>
    </row>
    <row r="141" spans="1:9" ht="65.25">
      <c r="A141" s="112" t="s">
        <v>143</v>
      </c>
      <c r="B141" s="112" t="s">
        <v>144</v>
      </c>
      <c r="C141" s="112" t="s">
        <v>145</v>
      </c>
      <c r="D141" s="155" t="s">
        <v>180</v>
      </c>
      <c r="E141" s="155" t="s">
        <v>178</v>
      </c>
      <c r="F141" s="155" t="s">
        <v>179</v>
      </c>
      <c r="G141" s="155" t="s">
        <v>3</v>
      </c>
      <c r="H141" s="111" t="s">
        <v>158</v>
      </c>
      <c r="I141" s="112" t="s">
        <v>0</v>
      </c>
    </row>
    <row r="142" spans="1:9">
      <c r="A142" s="109" t="s">
        <v>148</v>
      </c>
      <c r="B142" s="109" t="s">
        <v>40</v>
      </c>
      <c r="C142" s="109" t="s">
        <v>147</v>
      </c>
      <c r="D142" s="108">
        <v>0</v>
      </c>
      <c r="E142" s="108"/>
      <c r="F142" s="108"/>
      <c r="G142" s="108">
        <f>D142+E142-F142</f>
        <v>0</v>
      </c>
      <c r="H142" s="108">
        <v>0</v>
      </c>
      <c r="I142" s="108">
        <f>H142</f>
        <v>0</v>
      </c>
    </row>
    <row r="143" spans="1:9">
      <c r="A143" s="109"/>
      <c r="B143" s="109" t="s">
        <v>41</v>
      </c>
      <c r="C143" s="109" t="s">
        <v>147</v>
      </c>
      <c r="D143" s="108">
        <v>0</v>
      </c>
      <c r="E143" s="108"/>
      <c r="F143" s="108"/>
      <c r="G143" s="108">
        <f t="shared" ref="G143:G154" si="20">D143+E143-F143</f>
        <v>0</v>
      </c>
      <c r="H143" s="108">
        <v>0</v>
      </c>
      <c r="I143" s="108">
        <f t="shared" ref="I143:I153" si="21">H143</f>
        <v>0</v>
      </c>
    </row>
    <row r="144" spans="1:9">
      <c r="A144" s="109"/>
      <c r="B144" s="109" t="s">
        <v>37</v>
      </c>
      <c r="C144" s="109" t="s">
        <v>147</v>
      </c>
      <c r="D144" s="108">
        <v>0</v>
      </c>
      <c r="E144" s="108"/>
      <c r="F144" s="108"/>
      <c r="G144" s="108">
        <f t="shared" si="20"/>
        <v>0</v>
      </c>
      <c r="H144" s="108">
        <v>0</v>
      </c>
      <c r="I144" s="108">
        <f t="shared" si="21"/>
        <v>0</v>
      </c>
    </row>
    <row r="145" spans="1:9">
      <c r="A145" s="109"/>
      <c r="B145" s="109" t="s">
        <v>24</v>
      </c>
      <c r="C145" s="109" t="s">
        <v>147</v>
      </c>
      <c r="D145" s="108">
        <v>0</v>
      </c>
      <c r="E145" s="108"/>
      <c r="F145" s="108"/>
      <c r="G145" s="108">
        <f t="shared" si="20"/>
        <v>0</v>
      </c>
      <c r="H145" s="108">
        <v>0</v>
      </c>
      <c r="I145" s="108">
        <f t="shared" si="21"/>
        <v>0</v>
      </c>
    </row>
    <row r="146" spans="1:9">
      <c r="A146" s="109" t="s">
        <v>149</v>
      </c>
      <c r="B146" s="109" t="s">
        <v>27</v>
      </c>
      <c r="C146" s="109" t="s">
        <v>147</v>
      </c>
      <c r="D146" s="108">
        <v>0</v>
      </c>
      <c r="E146" s="108"/>
      <c r="F146" s="108"/>
      <c r="G146" s="108">
        <f t="shared" si="20"/>
        <v>0</v>
      </c>
      <c r="H146" s="108">
        <v>0</v>
      </c>
      <c r="I146" s="108">
        <f t="shared" si="21"/>
        <v>0</v>
      </c>
    </row>
    <row r="147" spans="1:9">
      <c r="A147" s="109"/>
      <c r="B147" s="109" t="s">
        <v>7</v>
      </c>
      <c r="C147" s="109" t="s">
        <v>147</v>
      </c>
      <c r="D147" s="108">
        <v>1325000</v>
      </c>
      <c r="E147" s="108"/>
      <c r="F147" s="108"/>
      <c r="G147" s="108">
        <f t="shared" si="20"/>
        <v>1325000</v>
      </c>
      <c r="H147" s="108">
        <v>241728.1</v>
      </c>
      <c r="I147" s="108">
        <f t="shared" si="21"/>
        <v>241728.1</v>
      </c>
    </row>
    <row r="148" spans="1:9">
      <c r="A148" s="109"/>
      <c r="B148" s="109" t="s">
        <v>8</v>
      </c>
      <c r="C148" s="109" t="s">
        <v>147</v>
      </c>
      <c r="D148" s="108">
        <v>0</v>
      </c>
      <c r="E148" s="108"/>
      <c r="F148" s="108"/>
      <c r="G148" s="108">
        <f t="shared" si="20"/>
        <v>0</v>
      </c>
      <c r="H148" s="108">
        <v>0</v>
      </c>
      <c r="I148" s="108">
        <f t="shared" si="21"/>
        <v>0</v>
      </c>
    </row>
    <row r="149" spans="1:9">
      <c r="A149" s="109"/>
      <c r="B149" s="109" t="s">
        <v>28</v>
      </c>
      <c r="C149" s="109" t="s">
        <v>147</v>
      </c>
      <c r="D149" s="108">
        <v>0</v>
      </c>
      <c r="E149" s="108"/>
      <c r="F149" s="108"/>
      <c r="G149" s="108">
        <f t="shared" si="20"/>
        <v>0</v>
      </c>
      <c r="H149" s="108">
        <v>0</v>
      </c>
      <c r="I149" s="108">
        <f t="shared" si="21"/>
        <v>0</v>
      </c>
    </row>
    <row r="150" spans="1:9">
      <c r="A150" s="109" t="s">
        <v>150</v>
      </c>
      <c r="B150" s="109" t="s">
        <v>20</v>
      </c>
      <c r="C150" s="109" t="s">
        <v>147</v>
      </c>
      <c r="D150" s="108">
        <v>0</v>
      </c>
      <c r="E150" s="108"/>
      <c r="F150" s="108"/>
      <c r="G150" s="108">
        <f t="shared" si="20"/>
        <v>0</v>
      </c>
      <c r="H150" s="108">
        <v>0</v>
      </c>
      <c r="I150" s="108">
        <f t="shared" si="21"/>
        <v>0</v>
      </c>
    </row>
    <row r="151" spans="1:9">
      <c r="A151" s="109"/>
      <c r="B151" s="109" t="s">
        <v>25</v>
      </c>
      <c r="C151" s="109" t="s">
        <v>147</v>
      </c>
      <c r="D151" s="108">
        <v>0</v>
      </c>
      <c r="E151" s="108"/>
      <c r="F151" s="108"/>
      <c r="G151" s="108">
        <f t="shared" si="20"/>
        <v>0</v>
      </c>
      <c r="H151" s="108">
        <v>0</v>
      </c>
      <c r="I151" s="108">
        <f t="shared" si="21"/>
        <v>0</v>
      </c>
    </row>
    <row r="152" spans="1:9">
      <c r="A152" s="109" t="s">
        <v>151</v>
      </c>
      <c r="B152" s="109" t="s">
        <v>36</v>
      </c>
      <c r="C152" s="109" t="s">
        <v>147</v>
      </c>
      <c r="D152" s="108">
        <v>0</v>
      </c>
      <c r="E152" s="108"/>
      <c r="F152" s="108"/>
      <c r="G152" s="108">
        <f t="shared" si="20"/>
        <v>0</v>
      </c>
      <c r="H152" s="108">
        <v>0</v>
      </c>
      <c r="I152" s="108">
        <f t="shared" si="21"/>
        <v>0</v>
      </c>
    </row>
    <row r="153" spans="1:9">
      <c r="A153" s="109" t="s">
        <v>152</v>
      </c>
      <c r="B153" s="109" t="s">
        <v>29</v>
      </c>
      <c r="C153" s="109" t="s">
        <v>147</v>
      </c>
      <c r="D153" s="108">
        <v>610000</v>
      </c>
      <c r="E153" s="108"/>
      <c r="F153" s="108"/>
      <c r="G153" s="108">
        <f t="shared" si="20"/>
        <v>610000</v>
      </c>
      <c r="H153" s="108"/>
      <c r="I153" s="108">
        <f t="shared" si="21"/>
        <v>0</v>
      </c>
    </row>
    <row r="154" spans="1:9">
      <c r="A154" s="212" t="s">
        <v>0</v>
      </c>
      <c r="B154" s="213"/>
      <c r="C154" s="214"/>
      <c r="D154" s="6">
        <f>SUM(D142:D153)</f>
        <v>1935000</v>
      </c>
      <c r="E154" s="6">
        <f t="shared" ref="E154:F154" si="22">SUM(E142:E153)</f>
        <v>0</v>
      </c>
      <c r="F154" s="6">
        <f t="shared" si="22"/>
        <v>0</v>
      </c>
      <c r="G154" s="108">
        <f t="shared" si="20"/>
        <v>1935000</v>
      </c>
      <c r="H154" s="6">
        <f>SUM(H142:H153)</f>
        <v>241728.1</v>
      </c>
      <c r="I154" s="6">
        <f>SUM(I142:I153)</f>
        <v>241728.1</v>
      </c>
    </row>
    <row r="155" spans="1:9">
      <c r="A155" s="1" t="s">
        <v>146</v>
      </c>
      <c r="B155" s="1"/>
      <c r="C155" s="1"/>
      <c r="D155" s="1"/>
      <c r="E155" s="1"/>
      <c r="F155" s="1"/>
      <c r="G155" s="1"/>
      <c r="H155" s="1"/>
      <c r="I155" s="1"/>
    </row>
    <row r="156" spans="1:9">
      <c r="A156" s="1"/>
      <c r="B156" s="1"/>
      <c r="C156" s="1"/>
      <c r="D156" s="1"/>
      <c r="E156" s="1"/>
      <c r="F156" s="1"/>
      <c r="G156" s="1"/>
      <c r="H156" s="1"/>
      <c r="I156" s="1"/>
    </row>
    <row r="157" spans="1:9">
      <c r="A157" s="207" t="s">
        <v>49</v>
      </c>
      <c r="B157" s="207"/>
      <c r="C157" s="207"/>
      <c r="D157" s="207"/>
      <c r="E157" s="207"/>
      <c r="F157" s="207"/>
      <c r="G157" s="207"/>
      <c r="H157" s="207"/>
      <c r="I157" s="207"/>
    </row>
    <row r="158" spans="1:9">
      <c r="A158" s="207" t="s">
        <v>190</v>
      </c>
      <c r="B158" s="207"/>
      <c r="C158" s="207"/>
      <c r="D158" s="207"/>
      <c r="E158" s="207"/>
      <c r="F158" s="207"/>
      <c r="G158" s="207"/>
      <c r="H158" s="207"/>
      <c r="I158" s="207"/>
    </row>
    <row r="159" spans="1:9">
      <c r="A159" s="215" t="s">
        <v>193</v>
      </c>
      <c r="B159" s="215"/>
      <c r="C159" s="215"/>
      <c r="D159" s="215"/>
      <c r="E159" s="215"/>
      <c r="F159" s="215"/>
      <c r="G159" s="215"/>
      <c r="H159" s="215"/>
      <c r="I159" s="215"/>
    </row>
    <row r="160" spans="1:9" ht="44.25">
      <c r="A160" s="105" t="s">
        <v>143</v>
      </c>
      <c r="B160" s="105" t="s">
        <v>144</v>
      </c>
      <c r="C160" s="105" t="s">
        <v>145</v>
      </c>
      <c r="D160" s="155" t="s">
        <v>180</v>
      </c>
      <c r="E160" s="155" t="s">
        <v>178</v>
      </c>
      <c r="F160" s="155" t="s">
        <v>179</v>
      </c>
      <c r="G160" s="155" t="s">
        <v>3</v>
      </c>
      <c r="H160" s="111" t="s">
        <v>159</v>
      </c>
      <c r="I160" s="105" t="s">
        <v>0</v>
      </c>
    </row>
    <row r="161" spans="1:9">
      <c r="A161" s="109" t="s">
        <v>148</v>
      </c>
      <c r="B161" s="109" t="s">
        <v>40</v>
      </c>
      <c r="C161" s="109" t="s">
        <v>147</v>
      </c>
      <c r="D161" s="108">
        <v>0</v>
      </c>
      <c r="E161" s="108"/>
      <c r="F161" s="108"/>
      <c r="G161" s="108">
        <f>D161+E161-F161</f>
        <v>0</v>
      </c>
      <c r="H161" s="108">
        <v>0</v>
      </c>
      <c r="I161" s="108">
        <f>H161</f>
        <v>0</v>
      </c>
    </row>
    <row r="162" spans="1:9">
      <c r="A162" s="109"/>
      <c r="B162" s="109" t="s">
        <v>41</v>
      </c>
      <c r="C162" s="109" t="s">
        <v>147</v>
      </c>
      <c r="D162" s="108">
        <v>0</v>
      </c>
      <c r="E162" s="108"/>
      <c r="F162" s="108"/>
      <c r="G162" s="108">
        <f t="shared" ref="G162:G173" si="23">D162+E162-F162</f>
        <v>0</v>
      </c>
      <c r="H162" s="108">
        <v>0</v>
      </c>
      <c r="I162" s="108">
        <f t="shared" ref="I162:I172" si="24">H162</f>
        <v>0</v>
      </c>
    </row>
    <row r="163" spans="1:9">
      <c r="A163" s="109"/>
      <c r="B163" s="109" t="s">
        <v>37</v>
      </c>
      <c r="C163" s="109" t="s">
        <v>147</v>
      </c>
      <c r="D163" s="108">
        <v>0</v>
      </c>
      <c r="E163" s="108"/>
      <c r="F163" s="108"/>
      <c r="G163" s="108">
        <f t="shared" si="23"/>
        <v>0</v>
      </c>
      <c r="H163" s="108">
        <v>0</v>
      </c>
      <c r="I163" s="108">
        <f t="shared" si="24"/>
        <v>0</v>
      </c>
    </row>
    <row r="164" spans="1:9">
      <c r="A164" s="109"/>
      <c r="B164" s="109" t="s">
        <v>24</v>
      </c>
      <c r="C164" s="109" t="s">
        <v>147</v>
      </c>
      <c r="D164" s="108">
        <v>0</v>
      </c>
      <c r="E164" s="108"/>
      <c r="F164" s="108"/>
      <c r="G164" s="108">
        <f t="shared" si="23"/>
        <v>0</v>
      </c>
      <c r="H164" s="108">
        <v>0</v>
      </c>
      <c r="I164" s="108">
        <f t="shared" si="24"/>
        <v>0</v>
      </c>
    </row>
    <row r="165" spans="1:9">
      <c r="A165" s="109" t="s">
        <v>149</v>
      </c>
      <c r="B165" s="109" t="s">
        <v>27</v>
      </c>
      <c r="C165" s="109" t="s">
        <v>147</v>
      </c>
      <c r="D165" s="108">
        <v>0</v>
      </c>
      <c r="E165" s="108"/>
      <c r="F165" s="108"/>
      <c r="G165" s="108">
        <f t="shared" si="23"/>
        <v>0</v>
      </c>
      <c r="H165" s="108">
        <v>0</v>
      </c>
      <c r="I165" s="108">
        <f t="shared" si="24"/>
        <v>0</v>
      </c>
    </row>
    <row r="166" spans="1:9">
      <c r="A166" s="109"/>
      <c r="B166" s="109" t="s">
        <v>7</v>
      </c>
      <c r="C166" s="109" t="s">
        <v>147</v>
      </c>
      <c r="D166" s="108">
        <v>520000</v>
      </c>
      <c r="E166" s="108"/>
      <c r="F166" s="108"/>
      <c r="G166" s="108">
        <f t="shared" si="23"/>
        <v>520000</v>
      </c>
      <c r="H166" s="108"/>
      <c r="I166" s="108">
        <f t="shared" si="24"/>
        <v>0</v>
      </c>
    </row>
    <row r="167" spans="1:9">
      <c r="A167" s="109"/>
      <c r="B167" s="109" t="s">
        <v>8</v>
      </c>
      <c r="C167" s="109" t="s">
        <v>147</v>
      </c>
      <c r="D167" s="108">
        <v>0</v>
      </c>
      <c r="E167" s="108"/>
      <c r="F167" s="108"/>
      <c r="G167" s="108">
        <f t="shared" si="23"/>
        <v>0</v>
      </c>
      <c r="H167" s="108">
        <v>0</v>
      </c>
      <c r="I167" s="108">
        <f t="shared" si="24"/>
        <v>0</v>
      </c>
    </row>
    <row r="168" spans="1:9">
      <c r="A168" s="109"/>
      <c r="B168" s="109" t="s">
        <v>28</v>
      </c>
      <c r="C168" s="109" t="s">
        <v>147</v>
      </c>
      <c r="D168" s="108">
        <v>0</v>
      </c>
      <c r="E168" s="108"/>
      <c r="F168" s="108"/>
      <c r="G168" s="108">
        <f t="shared" si="23"/>
        <v>0</v>
      </c>
      <c r="H168" s="108">
        <v>0</v>
      </c>
      <c r="I168" s="108">
        <f t="shared" si="24"/>
        <v>0</v>
      </c>
    </row>
    <row r="169" spans="1:9">
      <c r="A169" s="109" t="s">
        <v>150</v>
      </c>
      <c r="B169" s="109" t="s">
        <v>20</v>
      </c>
      <c r="C169" s="109" t="s">
        <v>147</v>
      </c>
      <c r="D169" s="108">
        <v>0</v>
      </c>
      <c r="E169" s="108"/>
      <c r="F169" s="108"/>
      <c r="G169" s="108">
        <f t="shared" si="23"/>
        <v>0</v>
      </c>
      <c r="H169" s="108">
        <v>0</v>
      </c>
      <c r="I169" s="108">
        <f t="shared" si="24"/>
        <v>0</v>
      </c>
    </row>
    <row r="170" spans="1:9">
      <c r="A170" s="109"/>
      <c r="B170" s="109" t="s">
        <v>25</v>
      </c>
      <c r="C170" s="109" t="s">
        <v>147</v>
      </c>
      <c r="D170" s="108">
        <v>0</v>
      </c>
      <c r="E170" s="108"/>
      <c r="F170" s="108"/>
      <c r="G170" s="108">
        <f t="shared" si="23"/>
        <v>0</v>
      </c>
      <c r="H170" s="108">
        <v>0</v>
      </c>
      <c r="I170" s="108">
        <f t="shared" si="24"/>
        <v>0</v>
      </c>
    </row>
    <row r="171" spans="1:9">
      <c r="A171" s="109" t="s">
        <v>151</v>
      </c>
      <c r="B171" s="109" t="s">
        <v>36</v>
      </c>
      <c r="C171" s="109" t="s">
        <v>147</v>
      </c>
      <c r="D171" s="108">
        <v>0</v>
      </c>
      <c r="E171" s="108"/>
      <c r="F171" s="108"/>
      <c r="G171" s="108">
        <f t="shared" si="23"/>
        <v>0</v>
      </c>
      <c r="H171" s="108">
        <v>0</v>
      </c>
      <c r="I171" s="108">
        <f t="shared" si="24"/>
        <v>0</v>
      </c>
    </row>
    <row r="172" spans="1:9">
      <c r="A172" s="109" t="s">
        <v>152</v>
      </c>
      <c r="B172" s="109" t="s">
        <v>29</v>
      </c>
      <c r="C172" s="109" t="s">
        <v>147</v>
      </c>
      <c r="D172" s="108">
        <v>455000</v>
      </c>
      <c r="E172" s="108"/>
      <c r="F172" s="108"/>
      <c r="G172" s="108">
        <f t="shared" si="23"/>
        <v>455000</v>
      </c>
      <c r="H172" s="108"/>
      <c r="I172" s="108">
        <f t="shared" si="24"/>
        <v>0</v>
      </c>
    </row>
    <row r="173" spans="1:9">
      <c r="A173" s="212" t="s">
        <v>0</v>
      </c>
      <c r="B173" s="213"/>
      <c r="C173" s="214"/>
      <c r="D173" s="6">
        <f>SUM(D161:D172)</f>
        <v>975000</v>
      </c>
      <c r="E173" s="6">
        <f t="shared" ref="E173:F173" si="25">SUM(E161:E172)</f>
        <v>0</v>
      </c>
      <c r="F173" s="6">
        <f t="shared" si="25"/>
        <v>0</v>
      </c>
      <c r="G173" s="108">
        <f t="shared" si="23"/>
        <v>975000</v>
      </c>
      <c r="H173" s="6">
        <f>SUM(H161:H172)</f>
        <v>0</v>
      </c>
      <c r="I173" s="6">
        <f>SUM(I161:I172)</f>
        <v>0</v>
      </c>
    </row>
    <row r="174" spans="1:9">
      <c r="A174" s="1" t="s">
        <v>146</v>
      </c>
      <c r="B174" s="1"/>
      <c r="C174" s="1"/>
      <c r="D174" s="1"/>
      <c r="E174" s="1"/>
      <c r="F174" s="1"/>
      <c r="G174" s="1"/>
      <c r="H174" s="1"/>
      <c r="I174" s="1"/>
    </row>
    <row r="175" spans="1:9">
      <c r="A175" s="1"/>
      <c r="B175" s="1"/>
      <c r="C175" s="1"/>
      <c r="D175" s="1"/>
      <c r="E175" s="1"/>
      <c r="F175" s="1"/>
      <c r="G175" s="1"/>
      <c r="H175" s="1"/>
      <c r="I175" s="1"/>
    </row>
    <row r="176" spans="1:9">
      <c r="A176" s="207" t="s">
        <v>49</v>
      </c>
      <c r="B176" s="207"/>
      <c r="C176" s="207"/>
      <c r="D176" s="207"/>
      <c r="E176" s="207"/>
      <c r="F176" s="207"/>
      <c r="G176" s="207"/>
      <c r="H176" s="207"/>
      <c r="I176" s="207"/>
    </row>
    <row r="177" spans="1:9">
      <c r="A177" s="207" t="s">
        <v>191</v>
      </c>
      <c r="B177" s="207"/>
      <c r="C177" s="207"/>
      <c r="D177" s="207"/>
      <c r="E177" s="207"/>
      <c r="F177" s="207"/>
      <c r="G177" s="207"/>
      <c r="H177" s="207"/>
      <c r="I177" s="207"/>
    </row>
    <row r="178" spans="1:9">
      <c r="A178" s="215" t="s">
        <v>193</v>
      </c>
      <c r="B178" s="215"/>
      <c r="C178" s="215"/>
      <c r="D178" s="215"/>
      <c r="E178" s="215"/>
      <c r="F178" s="215"/>
      <c r="G178" s="215"/>
      <c r="H178" s="215"/>
      <c r="I178" s="215"/>
    </row>
    <row r="179" spans="1:9" ht="44.25">
      <c r="A179" s="105" t="s">
        <v>143</v>
      </c>
      <c r="B179" s="105" t="s">
        <v>144</v>
      </c>
      <c r="C179" s="105" t="s">
        <v>145</v>
      </c>
      <c r="D179" s="155" t="s">
        <v>180</v>
      </c>
      <c r="E179" s="155" t="s">
        <v>178</v>
      </c>
      <c r="F179" s="155" t="s">
        <v>179</v>
      </c>
      <c r="G179" s="155" t="s">
        <v>3</v>
      </c>
      <c r="H179" s="111" t="s">
        <v>161</v>
      </c>
      <c r="I179" s="105" t="s">
        <v>0</v>
      </c>
    </row>
    <row r="180" spans="1:9">
      <c r="A180" s="109" t="s">
        <v>148</v>
      </c>
      <c r="B180" s="109" t="s">
        <v>40</v>
      </c>
      <c r="C180" s="109" t="s">
        <v>147</v>
      </c>
      <c r="D180" s="108">
        <v>0</v>
      </c>
      <c r="E180" s="108"/>
      <c r="F180" s="108"/>
      <c r="G180" s="108">
        <f>D180+E180-F180</f>
        <v>0</v>
      </c>
      <c r="H180" s="108">
        <v>0</v>
      </c>
      <c r="I180" s="108">
        <f>H180</f>
        <v>0</v>
      </c>
    </row>
    <row r="181" spans="1:9">
      <c r="A181" s="109"/>
      <c r="B181" s="109" t="s">
        <v>41</v>
      </c>
      <c r="C181" s="109" t="s">
        <v>147</v>
      </c>
      <c r="D181" s="108">
        <v>1191000</v>
      </c>
      <c r="E181" s="108"/>
      <c r="F181" s="108"/>
      <c r="G181" s="108">
        <f t="shared" ref="G181:G192" si="26">D181+E181-F181</f>
        <v>1191000</v>
      </c>
      <c r="H181" s="108">
        <v>124980</v>
      </c>
      <c r="I181" s="108">
        <f t="shared" ref="I181:I191" si="27">H181</f>
        <v>124980</v>
      </c>
    </row>
    <row r="182" spans="1:9">
      <c r="A182" s="109"/>
      <c r="B182" s="109" t="s">
        <v>37</v>
      </c>
      <c r="C182" s="109" t="s">
        <v>147</v>
      </c>
      <c r="D182" s="108"/>
      <c r="E182" s="108"/>
      <c r="F182" s="108"/>
      <c r="G182" s="108">
        <f t="shared" si="26"/>
        <v>0</v>
      </c>
      <c r="H182" s="108"/>
      <c r="I182" s="108">
        <f t="shared" si="27"/>
        <v>0</v>
      </c>
    </row>
    <row r="183" spans="1:9">
      <c r="A183" s="109"/>
      <c r="B183" s="109" t="s">
        <v>24</v>
      </c>
      <c r="C183" s="109" t="s">
        <v>147</v>
      </c>
      <c r="D183" s="108">
        <v>278000</v>
      </c>
      <c r="E183" s="108"/>
      <c r="F183" s="108"/>
      <c r="G183" s="108">
        <f t="shared" si="26"/>
        <v>278000</v>
      </c>
      <c r="H183" s="108">
        <v>73920</v>
      </c>
      <c r="I183" s="108">
        <f t="shared" si="27"/>
        <v>73920</v>
      </c>
    </row>
    <row r="184" spans="1:9">
      <c r="A184" s="109" t="s">
        <v>149</v>
      </c>
      <c r="B184" s="109" t="s">
        <v>27</v>
      </c>
      <c r="C184" s="109" t="s">
        <v>147</v>
      </c>
      <c r="D184" s="108">
        <v>66000</v>
      </c>
      <c r="E184" s="108"/>
      <c r="F184" s="108"/>
      <c r="G184" s="108">
        <f t="shared" si="26"/>
        <v>66000</v>
      </c>
      <c r="H184" s="108">
        <v>9000</v>
      </c>
      <c r="I184" s="108">
        <f t="shared" si="27"/>
        <v>9000</v>
      </c>
    </row>
    <row r="185" spans="1:9">
      <c r="A185" s="109"/>
      <c r="B185" s="109" t="s">
        <v>7</v>
      </c>
      <c r="C185" s="109" t="s">
        <v>147</v>
      </c>
      <c r="D185" s="108">
        <v>600000</v>
      </c>
      <c r="E185" s="108"/>
      <c r="F185" s="108"/>
      <c r="G185" s="108">
        <f t="shared" si="26"/>
        <v>600000</v>
      </c>
      <c r="H185" s="108">
        <v>1476.6</v>
      </c>
      <c r="I185" s="108">
        <f t="shared" si="27"/>
        <v>1476.6</v>
      </c>
    </row>
    <row r="186" spans="1:9">
      <c r="A186" s="109"/>
      <c r="B186" s="109" t="s">
        <v>8</v>
      </c>
      <c r="C186" s="109" t="s">
        <v>147</v>
      </c>
      <c r="D186" s="108">
        <v>60000</v>
      </c>
      <c r="E186" s="108"/>
      <c r="F186" s="108"/>
      <c r="G186" s="108">
        <f t="shared" si="26"/>
        <v>60000</v>
      </c>
      <c r="H186" s="108">
        <v>16860</v>
      </c>
      <c r="I186" s="108">
        <f t="shared" si="27"/>
        <v>16860</v>
      </c>
    </row>
    <row r="187" spans="1:9">
      <c r="A187" s="109"/>
      <c r="B187" s="109" t="s">
        <v>28</v>
      </c>
      <c r="C187" s="109" t="s">
        <v>147</v>
      </c>
      <c r="D187" s="108"/>
      <c r="E187" s="108"/>
      <c r="F187" s="108"/>
      <c r="G187" s="108">
        <f t="shared" si="26"/>
        <v>0</v>
      </c>
      <c r="H187" s="108"/>
      <c r="I187" s="108">
        <f t="shared" si="27"/>
        <v>0</v>
      </c>
    </row>
    <row r="188" spans="1:9">
      <c r="A188" s="109" t="s">
        <v>150</v>
      </c>
      <c r="B188" s="109" t="s">
        <v>20</v>
      </c>
      <c r="C188" s="109" t="s">
        <v>147</v>
      </c>
      <c r="D188" s="108"/>
      <c r="E188" s="108"/>
      <c r="F188" s="108"/>
      <c r="G188" s="108">
        <f t="shared" si="26"/>
        <v>0</v>
      </c>
      <c r="H188" s="108"/>
      <c r="I188" s="108">
        <f t="shared" si="27"/>
        <v>0</v>
      </c>
    </row>
    <row r="189" spans="1:9">
      <c r="A189" s="109"/>
      <c r="B189" s="109" t="s">
        <v>25</v>
      </c>
      <c r="C189" s="109" t="s">
        <v>147</v>
      </c>
      <c r="D189" s="108">
        <v>0</v>
      </c>
      <c r="E189" s="108"/>
      <c r="F189" s="108"/>
      <c r="G189" s="108">
        <f t="shared" si="26"/>
        <v>0</v>
      </c>
      <c r="H189" s="108">
        <v>0</v>
      </c>
      <c r="I189" s="108">
        <f t="shared" si="27"/>
        <v>0</v>
      </c>
    </row>
    <row r="190" spans="1:9">
      <c r="A190" s="109" t="s">
        <v>151</v>
      </c>
      <c r="B190" s="109" t="s">
        <v>36</v>
      </c>
      <c r="C190" s="109" t="s">
        <v>147</v>
      </c>
      <c r="D190" s="108">
        <v>0</v>
      </c>
      <c r="E190" s="108"/>
      <c r="F190" s="108"/>
      <c r="G190" s="108">
        <f t="shared" si="26"/>
        <v>0</v>
      </c>
      <c r="H190" s="108">
        <v>0</v>
      </c>
      <c r="I190" s="108">
        <f t="shared" si="27"/>
        <v>0</v>
      </c>
    </row>
    <row r="191" spans="1:9">
      <c r="A191" s="109" t="s">
        <v>152</v>
      </c>
      <c r="B191" s="109" t="s">
        <v>29</v>
      </c>
      <c r="C191" s="109" t="s">
        <v>147</v>
      </c>
      <c r="D191" s="108">
        <v>0</v>
      </c>
      <c r="E191" s="108"/>
      <c r="F191" s="108"/>
      <c r="G191" s="108">
        <f t="shared" si="26"/>
        <v>0</v>
      </c>
      <c r="H191" s="108">
        <v>0</v>
      </c>
      <c r="I191" s="108">
        <f t="shared" si="27"/>
        <v>0</v>
      </c>
    </row>
    <row r="192" spans="1:9">
      <c r="A192" s="212" t="s">
        <v>0</v>
      </c>
      <c r="B192" s="213"/>
      <c r="C192" s="214"/>
      <c r="D192" s="6">
        <f>SUM(D180:D191)</f>
        <v>2195000</v>
      </c>
      <c r="E192" s="6">
        <f t="shared" ref="E192:F192" si="28">SUM(E180:E191)</f>
        <v>0</v>
      </c>
      <c r="F192" s="6">
        <f t="shared" si="28"/>
        <v>0</v>
      </c>
      <c r="G192" s="108">
        <f t="shared" si="26"/>
        <v>2195000</v>
      </c>
      <c r="H192" s="6">
        <f>SUM(H180:H191)</f>
        <v>226236.6</v>
      </c>
      <c r="I192" s="6">
        <f>SUM(I180:I191)</f>
        <v>226236.6</v>
      </c>
    </row>
    <row r="193" spans="1:9">
      <c r="A193" s="1" t="s">
        <v>146</v>
      </c>
      <c r="B193" s="1"/>
      <c r="C193" s="1"/>
      <c r="D193" s="1"/>
      <c r="E193" s="1"/>
      <c r="F193" s="1"/>
      <c r="G193" s="1"/>
      <c r="H193" s="1"/>
      <c r="I193" s="1"/>
    </row>
    <row r="194" spans="1:9">
      <c r="A194" s="1"/>
      <c r="B194" s="1"/>
      <c r="C194" s="1"/>
      <c r="D194" s="1"/>
      <c r="E194" s="1"/>
      <c r="F194" s="1"/>
      <c r="G194" s="1"/>
      <c r="H194" s="1"/>
      <c r="I194" s="1"/>
    </row>
    <row r="195" spans="1:9">
      <c r="A195" s="1"/>
      <c r="B195" s="1"/>
      <c r="C195" s="1"/>
      <c r="D195" s="1"/>
      <c r="E195" s="1"/>
      <c r="F195" s="1"/>
      <c r="G195" s="1"/>
      <c r="H195" s="1"/>
      <c r="I195" s="1"/>
    </row>
    <row r="196" spans="1:9">
      <c r="A196" s="1"/>
      <c r="B196" s="1"/>
      <c r="C196" s="1"/>
      <c r="D196" s="1"/>
      <c r="E196" s="1"/>
      <c r="F196" s="1"/>
      <c r="G196" s="1"/>
      <c r="H196" s="1"/>
      <c r="I196" s="1"/>
    </row>
    <row r="197" spans="1:9">
      <c r="A197" s="1"/>
      <c r="B197" s="1"/>
      <c r="C197" s="1"/>
      <c r="D197" s="1"/>
      <c r="E197" s="1"/>
      <c r="F197" s="1"/>
      <c r="G197" s="1"/>
      <c r="H197" s="1"/>
      <c r="I197" s="1"/>
    </row>
    <row r="198" spans="1:9">
      <c r="A198" s="1"/>
      <c r="B198" s="1"/>
      <c r="C198" s="1"/>
      <c r="D198" s="1"/>
      <c r="E198" s="1"/>
      <c r="F198" s="1"/>
      <c r="G198" s="1"/>
      <c r="H198" s="1"/>
      <c r="I198" s="1"/>
    </row>
    <row r="199" spans="1:9">
      <c r="A199" s="1"/>
      <c r="B199" s="1"/>
      <c r="C199" s="1"/>
      <c r="D199" s="1"/>
      <c r="E199" s="1"/>
      <c r="F199" s="1"/>
      <c r="G199" s="1"/>
      <c r="H199" s="1"/>
      <c r="I199" s="1"/>
    </row>
  </sheetData>
  <mergeCells count="40">
    <mergeCell ref="A57:I57"/>
    <mergeCell ref="A20:I20"/>
    <mergeCell ref="A34:C34"/>
    <mergeCell ref="A1:I1"/>
    <mergeCell ref="A2:I2"/>
    <mergeCell ref="A3:I3"/>
    <mergeCell ref="A15:C15"/>
    <mergeCell ref="A18:I18"/>
    <mergeCell ref="A19:I19"/>
    <mergeCell ref="A37:I37"/>
    <mergeCell ref="A38:I38"/>
    <mergeCell ref="A39:I39"/>
    <mergeCell ref="A53:C53"/>
    <mergeCell ref="A56:I56"/>
    <mergeCell ref="A58:I58"/>
    <mergeCell ref="A75:C75"/>
    <mergeCell ref="A78:I78"/>
    <mergeCell ref="A79:I79"/>
    <mergeCell ref="A80:I80"/>
    <mergeCell ref="A176:I176"/>
    <mergeCell ref="A177:I177"/>
    <mergeCell ref="A178:I178"/>
    <mergeCell ref="A192:C192"/>
    <mergeCell ref="A97:I97"/>
    <mergeCell ref="A98:I98"/>
    <mergeCell ref="A99:I99"/>
    <mergeCell ref="A116:I116"/>
    <mergeCell ref="A117:I117"/>
    <mergeCell ref="A159:I159"/>
    <mergeCell ref="A173:C173"/>
    <mergeCell ref="A154:C154"/>
    <mergeCell ref="A157:I157"/>
    <mergeCell ref="A158:I158"/>
    <mergeCell ref="A94:C94"/>
    <mergeCell ref="A113:C113"/>
    <mergeCell ref="A138:I138"/>
    <mergeCell ref="A139:I139"/>
    <mergeCell ref="A140:I140"/>
    <mergeCell ref="A118:I118"/>
    <mergeCell ref="A135:C135"/>
  </mergeCells>
  <printOptions horizontalCentered="1"/>
  <pageMargins left="0.51181102362204722" right="0.23622047244094491" top="0.53" bottom="0.74803149606299213" header="0.31496062992125984" footer="0.31496062992125984"/>
  <pageSetup paperSize="9" scale="88" orientation="landscape" r:id="rId1"/>
  <rowBreaks count="9" manualBreakCount="9">
    <brk id="16" max="6" man="1"/>
    <brk id="35" max="16383" man="1"/>
    <brk id="54" max="16383" man="1"/>
    <brk id="76" max="16383" man="1"/>
    <brk id="95" max="16383" man="1"/>
    <brk id="114" max="16383" man="1"/>
    <brk id="136" max="16383" man="1"/>
    <brk id="155" max="6" man="1"/>
    <brk id="17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33"/>
  <sheetViews>
    <sheetView view="pageBreakPreview" zoomScaleNormal="100" zoomScaleSheetLayoutView="100" workbookViewId="0">
      <selection activeCell="H11" sqref="H11"/>
    </sheetView>
  </sheetViews>
  <sheetFormatPr defaultRowHeight="23.25"/>
  <cols>
    <col min="1" max="1" width="39.28515625" customWidth="1"/>
    <col min="2" max="2" width="12" customWidth="1"/>
    <col min="3" max="3" width="22.28515625" customWidth="1"/>
    <col min="4" max="4" width="15.28515625" hidden="1" customWidth="1"/>
    <col min="5" max="5" width="18.5703125" hidden="1" customWidth="1"/>
    <col min="6" max="6" width="0.28515625" hidden="1" customWidth="1"/>
    <col min="7" max="7" width="23" customWidth="1"/>
    <col min="8" max="8" width="21.140625" customWidth="1"/>
  </cols>
  <sheetData>
    <row r="1" spans="1:8">
      <c r="A1" s="1"/>
      <c r="B1" s="1"/>
      <c r="C1" s="1"/>
      <c r="D1" s="1"/>
      <c r="E1" s="1"/>
      <c r="F1" s="1"/>
      <c r="G1" s="1"/>
      <c r="H1" s="122"/>
    </row>
    <row r="2" spans="1:8">
      <c r="A2" s="219" t="s">
        <v>49</v>
      </c>
      <c r="B2" s="219"/>
      <c r="C2" s="219"/>
      <c r="D2" s="219"/>
      <c r="E2" s="219"/>
      <c r="F2" s="219"/>
      <c r="G2" s="219"/>
      <c r="H2" s="219"/>
    </row>
    <row r="3" spans="1:8">
      <c r="A3" s="220" t="s">
        <v>205</v>
      </c>
      <c r="B3" s="220"/>
      <c r="C3" s="220"/>
      <c r="D3" s="220"/>
      <c r="E3" s="220"/>
      <c r="F3" s="220"/>
      <c r="G3" s="220"/>
      <c r="H3" s="220"/>
    </row>
    <row r="4" spans="1:8">
      <c r="A4" s="220" t="s">
        <v>206</v>
      </c>
      <c r="B4" s="220"/>
      <c r="C4" s="220"/>
      <c r="D4" s="220"/>
      <c r="E4" s="220"/>
      <c r="F4" s="220"/>
      <c r="G4" s="220"/>
      <c r="H4" s="220"/>
    </row>
    <row r="5" spans="1:8">
      <c r="A5" s="42"/>
      <c r="B5" s="42"/>
      <c r="C5" s="42"/>
      <c r="D5" s="42"/>
      <c r="E5" s="42"/>
      <c r="F5" s="42"/>
      <c r="G5" s="42"/>
      <c r="H5" s="42"/>
    </row>
    <row r="6" spans="1:8">
      <c r="A6" s="43"/>
      <c r="B6" s="44" t="s">
        <v>50</v>
      </c>
      <c r="C6" s="44" t="s">
        <v>51</v>
      </c>
      <c r="D6" s="45" t="s">
        <v>52</v>
      </c>
      <c r="E6" s="45" t="s">
        <v>53</v>
      </c>
      <c r="F6" s="45" t="s">
        <v>54</v>
      </c>
      <c r="G6" s="45" t="s">
        <v>181</v>
      </c>
      <c r="H6" s="221" t="s">
        <v>56</v>
      </c>
    </row>
    <row r="7" spans="1:8">
      <c r="A7" s="46"/>
      <c r="B7" s="46"/>
      <c r="C7" s="46" t="s">
        <v>57</v>
      </c>
      <c r="D7" s="46"/>
      <c r="E7" s="47"/>
      <c r="F7" s="47"/>
      <c r="G7" s="46" t="s">
        <v>55</v>
      </c>
      <c r="H7" s="222"/>
    </row>
    <row r="8" spans="1:8">
      <c r="A8" s="48" t="s">
        <v>58</v>
      </c>
      <c r="B8" s="7"/>
      <c r="C8" s="49"/>
      <c r="D8" s="50"/>
      <c r="E8" s="50"/>
      <c r="F8" s="50"/>
      <c r="G8" s="50"/>
      <c r="H8" s="51"/>
    </row>
    <row r="9" spans="1:8">
      <c r="A9" s="48" t="s">
        <v>59</v>
      </c>
      <c r="B9" s="52" t="s">
        <v>60</v>
      </c>
      <c r="C9" s="53"/>
      <c r="D9" s="54"/>
      <c r="E9" s="54"/>
      <c r="F9" s="54"/>
      <c r="G9" s="54"/>
      <c r="H9" s="55"/>
    </row>
    <row r="10" spans="1:8">
      <c r="A10" s="56" t="s">
        <v>61</v>
      </c>
      <c r="B10" s="7" t="s">
        <v>62</v>
      </c>
      <c r="C10" s="53">
        <v>1773000</v>
      </c>
      <c r="D10" s="53">
        <v>10402</v>
      </c>
      <c r="E10" s="57">
        <v>1118</v>
      </c>
      <c r="F10" s="57">
        <v>688</v>
      </c>
      <c r="G10" s="57">
        <f>SUM(D10:F10)</f>
        <v>12208</v>
      </c>
      <c r="H10" s="58">
        <f>C10-G10</f>
        <v>1760792</v>
      </c>
    </row>
    <row r="11" spans="1:8">
      <c r="A11" s="56" t="s">
        <v>63</v>
      </c>
      <c r="B11" s="7" t="s">
        <v>64</v>
      </c>
      <c r="C11" s="53">
        <v>238000</v>
      </c>
      <c r="D11" s="53">
        <v>1155.05</v>
      </c>
      <c r="E11" s="57">
        <v>271.14999999999998</v>
      </c>
      <c r="F11" s="57">
        <v>234.4</v>
      </c>
      <c r="G11" s="57">
        <f t="shared" ref="G11:G74" si="0">SUM(D11:F11)</f>
        <v>1660.6</v>
      </c>
      <c r="H11" s="58">
        <f t="shared" ref="H11:H66" si="1">C11-G11</f>
        <v>236339.4</v>
      </c>
    </row>
    <row r="12" spans="1:8">
      <c r="A12" s="56" t="s">
        <v>65</v>
      </c>
      <c r="B12" s="7" t="s">
        <v>66</v>
      </c>
      <c r="C12" s="53">
        <v>52100</v>
      </c>
      <c r="D12" s="53">
        <v>168</v>
      </c>
      <c r="E12" s="57"/>
      <c r="F12" s="57"/>
      <c r="G12" s="57">
        <f t="shared" si="0"/>
        <v>168</v>
      </c>
      <c r="H12" s="58">
        <f t="shared" si="1"/>
        <v>51932</v>
      </c>
    </row>
    <row r="13" spans="1:8">
      <c r="A13" s="59" t="s">
        <v>0</v>
      </c>
      <c r="B13" s="7"/>
      <c r="C13" s="60">
        <f t="shared" ref="C13:F13" si="2">SUM(C10:C12)</f>
        <v>2063100</v>
      </c>
      <c r="D13" s="60">
        <f>SUM(D10:D12)</f>
        <v>11725.05</v>
      </c>
      <c r="E13" s="60">
        <f>SUM(E10:E12)</f>
        <v>1389.15</v>
      </c>
      <c r="F13" s="60">
        <f t="shared" si="2"/>
        <v>922.4</v>
      </c>
      <c r="G13" s="182">
        <f t="shared" si="0"/>
        <v>14036.599999999999</v>
      </c>
      <c r="H13" s="183">
        <f>C13-G13</f>
        <v>2049063.4</v>
      </c>
    </row>
    <row r="14" spans="1:8">
      <c r="A14" s="61" t="s">
        <v>67</v>
      </c>
      <c r="B14" s="52" t="s">
        <v>68</v>
      </c>
      <c r="C14" s="53"/>
      <c r="D14" s="54"/>
      <c r="E14" s="62"/>
      <c r="F14" s="54"/>
      <c r="G14" s="57">
        <f t="shared" si="0"/>
        <v>0</v>
      </c>
      <c r="H14" s="58">
        <f t="shared" si="1"/>
        <v>0</v>
      </c>
    </row>
    <row r="15" spans="1:8">
      <c r="A15" s="56" t="s">
        <v>69</v>
      </c>
      <c r="B15" s="7" t="s">
        <v>70</v>
      </c>
      <c r="C15" s="53"/>
      <c r="D15" s="54"/>
      <c r="E15" s="62"/>
      <c r="F15" s="62"/>
      <c r="G15" s="57">
        <f t="shared" si="0"/>
        <v>0</v>
      </c>
      <c r="H15" s="58">
        <f t="shared" si="1"/>
        <v>0</v>
      </c>
    </row>
    <row r="16" spans="1:8">
      <c r="A16" s="56" t="s">
        <v>71</v>
      </c>
      <c r="B16" s="7" t="s">
        <v>72</v>
      </c>
      <c r="C16" s="53">
        <v>71410</v>
      </c>
      <c r="D16" s="53">
        <v>9664</v>
      </c>
      <c r="E16" s="57"/>
      <c r="F16" s="57">
        <v>2985</v>
      </c>
      <c r="G16" s="57">
        <f t="shared" si="0"/>
        <v>12649</v>
      </c>
      <c r="H16" s="58">
        <f t="shared" si="1"/>
        <v>58761</v>
      </c>
    </row>
    <row r="17" spans="1:8">
      <c r="A17" s="56" t="s">
        <v>163</v>
      </c>
      <c r="B17" s="7" t="s">
        <v>73</v>
      </c>
      <c r="C17" s="53">
        <v>10000</v>
      </c>
      <c r="D17" s="53"/>
      <c r="E17" s="57"/>
      <c r="F17" s="57"/>
      <c r="G17" s="57">
        <f t="shared" si="0"/>
        <v>0</v>
      </c>
      <c r="H17" s="58">
        <f t="shared" si="1"/>
        <v>10000</v>
      </c>
    </row>
    <row r="18" spans="1:8">
      <c r="A18" s="56" t="s">
        <v>164</v>
      </c>
      <c r="B18" s="7" t="s">
        <v>74</v>
      </c>
      <c r="C18" s="53">
        <v>13700</v>
      </c>
      <c r="D18" s="53">
        <v>1355</v>
      </c>
      <c r="E18" s="57">
        <v>1206</v>
      </c>
      <c r="F18" s="57">
        <v>716</v>
      </c>
      <c r="G18" s="57">
        <f t="shared" si="0"/>
        <v>3277</v>
      </c>
      <c r="H18" s="58">
        <f t="shared" si="1"/>
        <v>10423</v>
      </c>
    </row>
    <row r="19" spans="1:8">
      <c r="A19" s="56" t="s">
        <v>165</v>
      </c>
      <c r="B19" s="7" t="s">
        <v>75</v>
      </c>
      <c r="C19" s="53">
        <v>64900</v>
      </c>
      <c r="D19" s="53">
        <v>7460</v>
      </c>
      <c r="E19" s="57">
        <v>700</v>
      </c>
      <c r="F19" s="57">
        <v>2400</v>
      </c>
      <c r="G19" s="57">
        <f t="shared" si="0"/>
        <v>10560</v>
      </c>
      <c r="H19" s="58">
        <f t="shared" si="1"/>
        <v>54340</v>
      </c>
    </row>
    <row r="20" spans="1:8">
      <c r="A20" s="125" t="s">
        <v>166</v>
      </c>
      <c r="B20" s="126"/>
      <c r="C20" s="126"/>
      <c r="D20" s="126"/>
      <c r="E20" s="126"/>
      <c r="F20" s="126"/>
      <c r="G20" s="57">
        <f t="shared" si="0"/>
        <v>0</v>
      </c>
      <c r="H20" s="58">
        <f t="shared" si="1"/>
        <v>0</v>
      </c>
    </row>
    <row r="21" spans="1:8">
      <c r="A21" s="127" t="s">
        <v>167</v>
      </c>
      <c r="B21" s="128">
        <v>412305</v>
      </c>
      <c r="C21" s="129">
        <v>0</v>
      </c>
      <c r="D21" s="37"/>
      <c r="E21" s="37"/>
      <c r="F21" s="37"/>
      <c r="G21" s="57">
        <f t="shared" si="0"/>
        <v>0</v>
      </c>
      <c r="H21" s="58">
        <f t="shared" si="1"/>
        <v>0</v>
      </c>
    </row>
    <row r="22" spans="1:8">
      <c r="A22" s="56" t="s">
        <v>76</v>
      </c>
      <c r="B22" s="7" t="s">
        <v>77</v>
      </c>
      <c r="C22" s="130">
        <v>8350</v>
      </c>
      <c r="D22" s="130"/>
      <c r="E22" s="131">
        <v>75</v>
      </c>
      <c r="F22" s="131"/>
      <c r="G22" s="57">
        <f t="shared" si="0"/>
        <v>75</v>
      </c>
      <c r="H22" s="58">
        <f t="shared" si="1"/>
        <v>8275</v>
      </c>
    </row>
    <row r="23" spans="1:8">
      <c r="A23" s="56" t="s">
        <v>78</v>
      </c>
      <c r="B23" s="7"/>
      <c r="C23" s="53">
        <v>1020</v>
      </c>
      <c r="D23" s="53"/>
      <c r="E23" s="57">
        <v>500</v>
      </c>
      <c r="F23" s="57"/>
      <c r="G23" s="57">
        <f t="shared" si="0"/>
        <v>500</v>
      </c>
      <c r="H23" s="58">
        <f t="shared" si="1"/>
        <v>520</v>
      </c>
    </row>
    <row r="24" spans="1:8">
      <c r="A24" s="56" t="s">
        <v>79</v>
      </c>
      <c r="B24" s="7"/>
      <c r="C24" s="53">
        <v>510</v>
      </c>
      <c r="D24" s="53">
        <v>10</v>
      </c>
      <c r="E24" s="57"/>
      <c r="F24" s="57"/>
      <c r="G24" s="57">
        <f t="shared" si="0"/>
        <v>10</v>
      </c>
      <c r="H24" s="58">
        <f t="shared" si="1"/>
        <v>500</v>
      </c>
    </row>
    <row r="25" spans="1:8">
      <c r="A25" s="56" t="s">
        <v>80</v>
      </c>
      <c r="B25" s="7" t="s">
        <v>81</v>
      </c>
      <c r="C25" s="53">
        <v>0</v>
      </c>
      <c r="D25" s="54"/>
      <c r="E25" s="62"/>
      <c r="F25" s="62"/>
      <c r="G25" s="57">
        <f t="shared" si="0"/>
        <v>0</v>
      </c>
      <c r="H25" s="58">
        <f t="shared" si="1"/>
        <v>0</v>
      </c>
    </row>
    <row r="26" spans="1:8">
      <c r="A26" s="56" t="s">
        <v>82</v>
      </c>
      <c r="B26" s="7" t="s">
        <v>83</v>
      </c>
      <c r="C26" s="53">
        <v>218600</v>
      </c>
      <c r="D26" s="53">
        <v>5880</v>
      </c>
      <c r="E26" s="57">
        <v>5200</v>
      </c>
      <c r="F26" s="57">
        <v>480</v>
      </c>
      <c r="G26" s="57">
        <f t="shared" si="0"/>
        <v>11560</v>
      </c>
      <c r="H26" s="58">
        <f t="shared" si="1"/>
        <v>207040</v>
      </c>
    </row>
    <row r="27" spans="1:8">
      <c r="A27" s="56" t="s">
        <v>84</v>
      </c>
      <c r="B27" s="7" t="s">
        <v>85</v>
      </c>
      <c r="C27" s="53">
        <v>1680</v>
      </c>
      <c r="D27" s="53">
        <v>110</v>
      </c>
      <c r="E27" s="57">
        <v>70</v>
      </c>
      <c r="F27" s="57">
        <v>70</v>
      </c>
      <c r="G27" s="57">
        <f t="shared" si="0"/>
        <v>250</v>
      </c>
      <c r="H27" s="58">
        <f t="shared" si="1"/>
        <v>1430</v>
      </c>
    </row>
    <row r="28" spans="1:8" ht="25.5">
      <c r="A28" s="70" t="s">
        <v>86</v>
      </c>
      <c r="B28" s="30" t="s">
        <v>87</v>
      </c>
      <c r="C28" s="71">
        <v>15360</v>
      </c>
      <c r="D28" s="71">
        <v>460</v>
      </c>
      <c r="E28" s="72">
        <v>500</v>
      </c>
      <c r="F28" s="72">
        <v>540</v>
      </c>
      <c r="G28" s="57">
        <f t="shared" si="0"/>
        <v>1500</v>
      </c>
      <c r="H28" s="58">
        <f t="shared" si="1"/>
        <v>13860</v>
      </c>
    </row>
    <row r="29" spans="1:8" ht="25.5">
      <c r="A29" s="70" t="s">
        <v>168</v>
      </c>
      <c r="B29" s="30" t="s">
        <v>88</v>
      </c>
      <c r="C29" s="71">
        <v>450</v>
      </c>
      <c r="D29" s="71"/>
      <c r="E29" s="72"/>
      <c r="F29" s="72"/>
      <c r="G29" s="57">
        <f t="shared" si="0"/>
        <v>0</v>
      </c>
      <c r="H29" s="58">
        <f t="shared" si="1"/>
        <v>450</v>
      </c>
    </row>
    <row r="30" spans="1:8" ht="25.5">
      <c r="A30" s="74" t="s">
        <v>0</v>
      </c>
      <c r="B30" s="30"/>
      <c r="C30" s="75">
        <f t="shared" ref="C30:F30" si="3">SUM(C15:C29)</f>
        <v>405980</v>
      </c>
      <c r="D30" s="75">
        <f t="shared" si="3"/>
        <v>24939</v>
      </c>
      <c r="E30" s="75">
        <f t="shared" si="3"/>
        <v>8251</v>
      </c>
      <c r="F30" s="75">
        <f t="shared" si="3"/>
        <v>7191</v>
      </c>
      <c r="G30" s="182">
        <f t="shared" si="0"/>
        <v>40381</v>
      </c>
      <c r="H30" s="183">
        <f t="shared" si="1"/>
        <v>365599</v>
      </c>
    </row>
    <row r="31" spans="1:8" ht="25.5">
      <c r="A31" s="63" t="s">
        <v>89</v>
      </c>
      <c r="B31" s="76" t="s">
        <v>90</v>
      </c>
      <c r="C31" s="71"/>
      <c r="D31" s="73"/>
      <c r="E31" s="77"/>
      <c r="F31" s="73"/>
      <c r="G31" s="57">
        <f t="shared" si="0"/>
        <v>0</v>
      </c>
      <c r="H31" s="58">
        <f t="shared" si="1"/>
        <v>0</v>
      </c>
    </row>
    <row r="32" spans="1:8" ht="25.5">
      <c r="A32" s="70" t="s">
        <v>91</v>
      </c>
      <c r="B32" s="30" t="s">
        <v>92</v>
      </c>
      <c r="C32" s="71">
        <v>500</v>
      </c>
      <c r="D32" s="71"/>
      <c r="E32" s="72"/>
      <c r="F32" s="72"/>
      <c r="G32" s="57">
        <f t="shared" si="0"/>
        <v>0</v>
      </c>
      <c r="H32" s="58">
        <f t="shared" si="1"/>
        <v>500</v>
      </c>
    </row>
    <row r="33" spans="1:8" ht="25.5">
      <c r="A33" s="70" t="s">
        <v>169</v>
      </c>
      <c r="B33" s="30" t="s">
        <v>93</v>
      </c>
      <c r="C33" s="71">
        <v>750500</v>
      </c>
      <c r="D33" s="71">
        <v>27125.15</v>
      </c>
      <c r="E33" s="72">
        <v>29303.3</v>
      </c>
      <c r="F33" s="72">
        <v>28358.03</v>
      </c>
      <c r="G33" s="57">
        <f t="shared" si="0"/>
        <v>84786.48</v>
      </c>
      <c r="H33" s="58">
        <f t="shared" si="1"/>
        <v>665713.52</v>
      </c>
    </row>
    <row r="34" spans="1:8" ht="25.5">
      <c r="A34" s="74" t="s">
        <v>0</v>
      </c>
      <c r="B34" s="30"/>
      <c r="C34" s="75">
        <f t="shared" ref="C34:F34" si="4">SUM(C32:C33)</f>
        <v>751000</v>
      </c>
      <c r="D34" s="75">
        <f>SUM(D32:D33)</f>
        <v>27125.15</v>
      </c>
      <c r="E34" s="75">
        <f t="shared" si="4"/>
        <v>29303.3</v>
      </c>
      <c r="F34" s="75">
        <f t="shared" si="4"/>
        <v>28358.03</v>
      </c>
      <c r="G34" s="182">
        <f t="shared" si="0"/>
        <v>84786.48</v>
      </c>
      <c r="H34" s="183">
        <f t="shared" si="1"/>
        <v>666213.52</v>
      </c>
    </row>
    <row r="35" spans="1:8" ht="25.5">
      <c r="A35" s="63" t="s">
        <v>94</v>
      </c>
      <c r="B35" s="76" t="s">
        <v>95</v>
      </c>
      <c r="C35" s="71"/>
      <c r="D35" s="73"/>
      <c r="E35" s="77"/>
      <c r="F35" s="73"/>
      <c r="G35" s="57">
        <f t="shared" si="0"/>
        <v>0</v>
      </c>
      <c r="H35" s="58">
        <f t="shared" si="1"/>
        <v>0</v>
      </c>
    </row>
    <row r="36" spans="1:8" ht="25.5">
      <c r="A36" s="70" t="s">
        <v>96</v>
      </c>
      <c r="B36" s="30" t="s">
        <v>97</v>
      </c>
      <c r="C36" s="71">
        <v>280700</v>
      </c>
      <c r="D36" s="71">
        <v>46700</v>
      </c>
      <c r="E36" s="72">
        <v>63900</v>
      </c>
      <c r="F36" s="72"/>
      <c r="G36" s="57">
        <f t="shared" si="0"/>
        <v>110600</v>
      </c>
      <c r="H36" s="58">
        <f t="shared" si="1"/>
        <v>170100</v>
      </c>
    </row>
    <row r="37" spans="1:8" ht="25.5">
      <c r="A37" s="56" t="s">
        <v>98</v>
      </c>
      <c r="B37" s="30" t="s">
        <v>99</v>
      </c>
      <c r="C37" s="71">
        <v>10500</v>
      </c>
      <c r="D37" s="71">
        <v>400</v>
      </c>
      <c r="E37" s="72"/>
      <c r="F37" s="72"/>
      <c r="G37" s="57">
        <f t="shared" si="0"/>
        <v>400</v>
      </c>
      <c r="H37" s="58">
        <f t="shared" si="1"/>
        <v>10100</v>
      </c>
    </row>
    <row r="38" spans="1:8" ht="25.5">
      <c r="A38" s="70" t="s">
        <v>100</v>
      </c>
      <c r="B38" s="30" t="s">
        <v>101</v>
      </c>
      <c r="C38" s="71">
        <v>309490</v>
      </c>
      <c r="D38" s="71">
        <v>72560</v>
      </c>
      <c r="E38" s="72">
        <v>70</v>
      </c>
      <c r="F38" s="72">
        <v>60320</v>
      </c>
      <c r="G38" s="57">
        <f t="shared" si="0"/>
        <v>132950</v>
      </c>
      <c r="H38" s="58">
        <f t="shared" si="1"/>
        <v>176540</v>
      </c>
    </row>
    <row r="39" spans="1:8" ht="25.5">
      <c r="A39" s="56"/>
      <c r="B39" s="30"/>
      <c r="C39" s="132"/>
      <c r="D39" s="132"/>
      <c r="E39" s="133"/>
      <c r="F39" s="133"/>
      <c r="G39" s="57">
        <f t="shared" si="0"/>
        <v>0</v>
      </c>
      <c r="H39" s="58">
        <f t="shared" si="1"/>
        <v>0</v>
      </c>
    </row>
    <row r="40" spans="1:8" ht="25.5">
      <c r="A40" s="74" t="s">
        <v>0</v>
      </c>
      <c r="B40" s="31"/>
      <c r="C40" s="75">
        <f>SUM(C36:C39)</f>
        <v>600690</v>
      </c>
      <c r="D40" s="75">
        <f>SUM(D36:D39)</f>
        <v>119660</v>
      </c>
      <c r="E40" s="75">
        <f>SUM(E36:E39)</f>
        <v>63970</v>
      </c>
      <c r="F40" s="75">
        <f t="shared" ref="F40" si="5">SUM(F36:F39)</f>
        <v>60320</v>
      </c>
      <c r="G40" s="182">
        <f t="shared" si="0"/>
        <v>243950</v>
      </c>
      <c r="H40" s="183">
        <f t="shared" si="1"/>
        <v>356740</v>
      </c>
    </row>
    <row r="41" spans="1:8" ht="25.5">
      <c r="A41" s="134" t="s">
        <v>170</v>
      </c>
      <c r="B41" s="34"/>
      <c r="C41" s="34"/>
      <c r="D41" s="34"/>
      <c r="E41" s="34"/>
      <c r="F41" s="34"/>
      <c r="G41" s="57">
        <f t="shared" si="0"/>
        <v>0</v>
      </c>
      <c r="H41" s="58">
        <f t="shared" si="1"/>
        <v>0</v>
      </c>
    </row>
    <row r="42" spans="1:8" ht="25.5">
      <c r="A42" s="33" t="s">
        <v>171</v>
      </c>
      <c r="B42" s="34"/>
      <c r="C42" s="71">
        <v>1000</v>
      </c>
      <c r="D42" s="71"/>
      <c r="E42" s="71"/>
      <c r="F42" s="71"/>
      <c r="G42" s="57">
        <f t="shared" si="0"/>
        <v>0</v>
      </c>
      <c r="H42" s="58">
        <f t="shared" si="1"/>
        <v>1000</v>
      </c>
    </row>
    <row r="43" spans="1:8" ht="25.5">
      <c r="A43" s="135" t="s">
        <v>0</v>
      </c>
      <c r="B43" s="34"/>
      <c r="C43" s="75">
        <f>C42</f>
        <v>1000</v>
      </c>
      <c r="D43" s="75">
        <f t="shared" ref="D43:F43" si="6">D42</f>
        <v>0</v>
      </c>
      <c r="E43" s="75">
        <f t="shared" si="6"/>
        <v>0</v>
      </c>
      <c r="F43" s="75">
        <f t="shared" si="6"/>
        <v>0</v>
      </c>
      <c r="G43" s="182">
        <f t="shared" si="0"/>
        <v>0</v>
      </c>
      <c r="H43" s="183">
        <f t="shared" si="1"/>
        <v>1000</v>
      </c>
    </row>
    <row r="44" spans="1:8" ht="25.5">
      <c r="A44" s="63" t="s">
        <v>102</v>
      </c>
      <c r="B44" s="76" t="s">
        <v>103</v>
      </c>
      <c r="C44" s="136"/>
      <c r="D44" s="71"/>
      <c r="E44" s="137"/>
      <c r="F44" s="138"/>
      <c r="G44" s="57">
        <f t="shared" si="0"/>
        <v>0</v>
      </c>
      <c r="H44" s="58">
        <f t="shared" si="1"/>
        <v>0</v>
      </c>
    </row>
    <row r="45" spans="1:8" ht="25.5">
      <c r="A45" s="70" t="s">
        <v>104</v>
      </c>
      <c r="B45" s="30" t="s">
        <v>105</v>
      </c>
      <c r="C45" s="71">
        <v>8135730</v>
      </c>
      <c r="D45" s="71">
        <v>577478.66</v>
      </c>
      <c r="E45" s="72">
        <v>666432.48</v>
      </c>
      <c r="F45" s="72">
        <v>651215.02</v>
      </c>
      <c r="G45" s="57">
        <f t="shared" si="0"/>
        <v>1895126.1600000001</v>
      </c>
      <c r="H45" s="58">
        <f t="shared" si="1"/>
        <v>6240603.8399999999</v>
      </c>
    </row>
    <row r="46" spans="1:8" ht="25.5">
      <c r="A46" s="70" t="s">
        <v>106</v>
      </c>
      <c r="B46" s="30" t="s">
        <v>107</v>
      </c>
      <c r="C46" s="71">
        <v>11500000</v>
      </c>
      <c r="D46" s="71">
        <v>767713.22</v>
      </c>
      <c r="E46" s="72">
        <v>770922.24</v>
      </c>
      <c r="F46" s="72">
        <v>781489.7</v>
      </c>
      <c r="G46" s="57">
        <f t="shared" si="0"/>
        <v>2320125.16</v>
      </c>
      <c r="H46" s="58">
        <f t="shared" si="1"/>
        <v>9179874.8399999999</v>
      </c>
    </row>
    <row r="47" spans="1:8" ht="25.5">
      <c r="A47" s="70" t="s">
        <v>108</v>
      </c>
      <c r="B47" s="30" t="s">
        <v>109</v>
      </c>
      <c r="C47" s="71">
        <v>400000</v>
      </c>
      <c r="D47" s="71">
        <v>37254.870000000003</v>
      </c>
      <c r="E47" s="72">
        <v>13080.63</v>
      </c>
      <c r="F47" s="72">
        <v>27448.06</v>
      </c>
      <c r="G47" s="57">
        <f t="shared" si="0"/>
        <v>77783.56</v>
      </c>
      <c r="H47" s="58">
        <f t="shared" si="1"/>
        <v>322216.44</v>
      </c>
    </row>
    <row r="48" spans="1:8" ht="25.5">
      <c r="A48" s="70" t="s">
        <v>110</v>
      </c>
      <c r="B48" s="30" t="s">
        <v>111</v>
      </c>
      <c r="C48" s="71">
        <v>3500000</v>
      </c>
      <c r="D48" s="71">
        <v>222464.68</v>
      </c>
      <c r="E48" s="72">
        <v>253172.12</v>
      </c>
      <c r="F48" s="72">
        <v>264653</v>
      </c>
      <c r="G48" s="57">
        <f t="shared" si="0"/>
        <v>740289.8</v>
      </c>
      <c r="H48" s="58">
        <f t="shared" si="1"/>
        <v>2759710.2</v>
      </c>
    </row>
    <row r="49" spans="1:8" ht="25.5">
      <c r="A49" s="70" t="s">
        <v>112</v>
      </c>
      <c r="B49" s="30" t="s">
        <v>113</v>
      </c>
      <c r="C49" s="32">
        <v>4900000</v>
      </c>
      <c r="D49" s="32">
        <f>480315.66+19.4</f>
        <v>480335.06</v>
      </c>
      <c r="E49" s="78">
        <v>533507.77</v>
      </c>
      <c r="F49" s="78">
        <v>498044.38</v>
      </c>
      <c r="G49" s="57">
        <f t="shared" si="0"/>
        <v>1511887.21</v>
      </c>
      <c r="H49" s="58">
        <f t="shared" si="1"/>
        <v>3388112.79</v>
      </c>
    </row>
    <row r="50" spans="1:8" ht="25.5">
      <c r="A50" s="70" t="s">
        <v>114</v>
      </c>
      <c r="B50" s="30" t="s">
        <v>115</v>
      </c>
      <c r="C50" s="71">
        <v>95000</v>
      </c>
      <c r="D50" s="71"/>
      <c r="E50" s="72"/>
      <c r="F50" s="72"/>
      <c r="G50" s="57">
        <f t="shared" si="0"/>
        <v>0</v>
      </c>
      <c r="H50" s="58">
        <f t="shared" si="1"/>
        <v>95000</v>
      </c>
    </row>
    <row r="51" spans="1:8" ht="25.5">
      <c r="A51" s="70" t="s">
        <v>116</v>
      </c>
      <c r="B51" s="30" t="s">
        <v>117</v>
      </c>
      <c r="C51" s="71">
        <v>900000</v>
      </c>
      <c r="D51" s="71">
        <v>164683.07</v>
      </c>
      <c r="E51" s="72"/>
      <c r="F51" s="72"/>
      <c r="G51" s="57">
        <f t="shared" si="0"/>
        <v>164683.07</v>
      </c>
      <c r="H51" s="58">
        <f t="shared" si="1"/>
        <v>735316.92999999993</v>
      </c>
    </row>
    <row r="52" spans="1:8" ht="25.5">
      <c r="A52" s="70" t="s">
        <v>118</v>
      </c>
      <c r="B52" s="30"/>
      <c r="C52" s="71">
        <v>0</v>
      </c>
      <c r="D52" s="73"/>
      <c r="E52" s="77"/>
      <c r="F52" s="77"/>
      <c r="G52" s="57">
        <f t="shared" si="0"/>
        <v>0</v>
      </c>
      <c r="H52" s="58">
        <f t="shared" si="1"/>
        <v>0</v>
      </c>
    </row>
    <row r="53" spans="1:8" ht="25.5">
      <c r="A53" s="70" t="s">
        <v>119</v>
      </c>
      <c r="B53" s="30" t="s">
        <v>120</v>
      </c>
      <c r="C53" s="71">
        <v>11000000</v>
      </c>
      <c r="D53" s="71">
        <v>209128</v>
      </c>
      <c r="E53" s="72">
        <v>324301</v>
      </c>
      <c r="F53" s="72"/>
      <c r="G53" s="57">
        <f t="shared" si="0"/>
        <v>533429</v>
      </c>
      <c r="H53" s="58">
        <f t="shared" si="1"/>
        <v>10466571</v>
      </c>
    </row>
    <row r="54" spans="1:8" ht="25.5">
      <c r="A54" s="70" t="s">
        <v>121</v>
      </c>
      <c r="B54" s="30"/>
      <c r="C54" s="71">
        <v>0</v>
      </c>
      <c r="D54" s="71"/>
      <c r="E54" s="72"/>
      <c r="F54" s="72"/>
      <c r="G54" s="57">
        <f t="shared" si="0"/>
        <v>0</v>
      </c>
      <c r="H54" s="58">
        <f t="shared" si="1"/>
        <v>0</v>
      </c>
    </row>
    <row r="55" spans="1:8" ht="25.5">
      <c r="A55" s="74" t="s">
        <v>0</v>
      </c>
      <c r="B55" s="30"/>
      <c r="C55" s="75">
        <f t="shared" ref="C55:F55" si="7">C45+C46+C47+C48+C49+C50+C51+C52+C53</f>
        <v>40430730</v>
      </c>
      <c r="D55" s="75">
        <f t="shared" si="7"/>
        <v>2459057.56</v>
      </c>
      <c r="E55" s="75">
        <f t="shared" si="7"/>
        <v>2561416.2399999998</v>
      </c>
      <c r="F55" s="75">
        <f t="shared" si="7"/>
        <v>2222850.16</v>
      </c>
      <c r="G55" s="182">
        <f t="shared" si="0"/>
        <v>7243323.96</v>
      </c>
      <c r="H55" s="58">
        <f t="shared" si="1"/>
        <v>33187406.039999999</v>
      </c>
    </row>
    <row r="56" spans="1:8" ht="25.5">
      <c r="A56" s="79" t="s">
        <v>122</v>
      </c>
      <c r="B56" s="80"/>
      <c r="C56" s="81">
        <f>C13+C30+C34+C40+C43+C55</f>
        <v>44252500</v>
      </c>
      <c r="D56" s="81">
        <f t="shared" ref="D56:F56" si="8">D13+D30+D34+D40+D55</f>
        <v>2642506.7600000002</v>
      </c>
      <c r="E56" s="82">
        <f t="shared" si="8"/>
        <v>2664329.69</v>
      </c>
      <c r="F56" s="81">
        <f t="shared" si="8"/>
        <v>2319641.5900000003</v>
      </c>
      <c r="G56" s="182">
        <f t="shared" si="0"/>
        <v>7626478.040000001</v>
      </c>
      <c r="H56" s="58">
        <f t="shared" si="1"/>
        <v>36626021.960000001</v>
      </c>
    </row>
    <row r="57" spans="1:8" ht="25.5">
      <c r="A57" s="63" t="s">
        <v>123</v>
      </c>
      <c r="B57" s="76" t="s">
        <v>124</v>
      </c>
      <c r="C57" s="71"/>
      <c r="D57" s="77"/>
      <c r="E57" s="77"/>
      <c r="F57" s="77"/>
      <c r="G57" s="57">
        <f t="shared" si="0"/>
        <v>0</v>
      </c>
      <c r="H57" s="58">
        <f t="shared" si="1"/>
        <v>0</v>
      </c>
    </row>
    <row r="58" spans="1:8" ht="25.5">
      <c r="A58" s="64" t="s">
        <v>125</v>
      </c>
      <c r="B58" s="30" t="s">
        <v>126</v>
      </c>
      <c r="C58" s="83">
        <v>24147500</v>
      </c>
      <c r="D58" s="84"/>
      <c r="E58" s="84">
        <v>6622464</v>
      </c>
      <c r="F58" s="84"/>
      <c r="G58" s="57">
        <f t="shared" si="0"/>
        <v>6622464</v>
      </c>
      <c r="H58" s="58">
        <f t="shared" si="1"/>
        <v>17525036</v>
      </c>
    </row>
    <row r="59" spans="1:8" ht="25.5">
      <c r="A59" s="64" t="s">
        <v>127</v>
      </c>
      <c r="B59" s="30"/>
      <c r="C59" s="85"/>
      <c r="D59" s="86"/>
      <c r="E59" s="86">
        <v>287339</v>
      </c>
      <c r="F59" s="86"/>
      <c r="G59" s="57">
        <f t="shared" si="0"/>
        <v>287339</v>
      </c>
      <c r="H59" s="58">
        <f t="shared" si="1"/>
        <v>-287339</v>
      </c>
    </row>
    <row r="60" spans="1:8" ht="25.5">
      <c r="A60" s="64" t="s">
        <v>128</v>
      </c>
      <c r="B60" s="30"/>
      <c r="C60" s="85"/>
      <c r="D60" s="86"/>
      <c r="E60" s="86">
        <v>1053000</v>
      </c>
      <c r="F60" s="86"/>
      <c r="G60" s="57">
        <f t="shared" si="0"/>
        <v>1053000</v>
      </c>
      <c r="H60" s="58">
        <f t="shared" si="1"/>
        <v>-1053000</v>
      </c>
    </row>
    <row r="61" spans="1:8" ht="25.5">
      <c r="A61" s="64" t="s">
        <v>129</v>
      </c>
      <c r="B61" s="30"/>
      <c r="C61" s="85"/>
      <c r="D61" s="86"/>
      <c r="E61" s="86">
        <v>10000</v>
      </c>
      <c r="F61" s="86"/>
      <c r="G61" s="57">
        <f t="shared" si="0"/>
        <v>10000</v>
      </c>
      <c r="H61" s="58">
        <f t="shared" si="1"/>
        <v>-10000</v>
      </c>
    </row>
    <row r="62" spans="1:8" ht="25.5">
      <c r="A62" s="64" t="s">
        <v>130</v>
      </c>
      <c r="B62" s="30"/>
      <c r="C62" s="85"/>
      <c r="D62" s="86"/>
      <c r="E62" s="86">
        <v>150000</v>
      </c>
      <c r="F62" s="86"/>
      <c r="G62" s="57">
        <f t="shared" si="0"/>
        <v>150000</v>
      </c>
      <c r="H62" s="58">
        <f t="shared" si="1"/>
        <v>-150000</v>
      </c>
    </row>
    <row r="63" spans="1:8" ht="25.5">
      <c r="A63" s="64" t="s">
        <v>131</v>
      </c>
      <c r="B63" s="30"/>
      <c r="C63" s="85"/>
      <c r="D63" s="86"/>
      <c r="E63" s="86">
        <v>28500</v>
      </c>
      <c r="F63" s="86"/>
      <c r="G63" s="57">
        <f t="shared" si="0"/>
        <v>28500</v>
      </c>
      <c r="H63" s="58">
        <f t="shared" si="1"/>
        <v>-28500</v>
      </c>
    </row>
    <row r="64" spans="1:8" ht="25.5">
      <c r="A64" s="93" t="s">
        <v>172</v>
      </c>
      <c r="B64" s="38"/>
      <c r="C64" s="72"/>
      <c r="D64" s="84"/>
      <c r="E64" s="84">
        <v>177800</v>
      </c>
      <c r="F64" s="84"/>
      <c r="G64" s="57">
        <f t="shared" si="0"/>
        <v>177800</v>
      </c>
      <c r="H64" s="58">
        <f t="shared" si="1"/>
        <v>-177800</v>
      </c>
    </row>
    <row r="65" spans="1:8" ht="25.5">
      <c r="A65" s="65" t="s">
        <v>132</v>
      </c>
      <c r="B65" s="87"/>
      <c r="C65" s="88">
        <f>C58</f>
        <v>24147500</v>
      </c>
      <c r="D65" s="89">
        <f>D58</f>
        <v>0</v>
      </c>
      <c r="E65" s="89">
        <f>SUM(E58:E64)</f>
        <v>8329103</v>
      </c>
      <c r="F65" s="89">
        <f t="shared" ref="F65" si="9">F58</f>
        <v>0</v>
      </c>
      <c r="G65" s="182">
        <f t="shared" si="0"/>
        <v>8329103</v>
      </c>
      <c r="H65" s="58">
        <f t="shared" si="1"/>
        <v>15818397</v>
      </c>
    </row>
    <row r="66" spans="1:8" ht="25.5">
      <c r="A66" s="66" t="s">
        <v>133</v>
      </c>
      <c r="B66" s="90"/>
      <c r="C66" s="91">
        <f t="shared" ref="C66:F66" si="10">C56+C65</f>
        <v>68400000</v>
      </c>
      <c r="D66" s="91">
        <f t="shared" si="10"/>
        <v>2642506.7600000002</v>
      </c>
      <c r="E66" s="91">
        <f>E56+E65</f>
        <v>10993432.689999999</v>
      </c>
      <c r="F66" s="91">
        <f t="shared" si="10"/>
        <v>2319641.5900000003</v>
      </c>
      <c r="G66" s="182">
        <f t="shared" si="0"/>
        <v>15955581.039999999</v>
      </c>
      <c r="H66" s="58">
        <f t="shared" si="1"/>
        <v>52444418.960000001</v>
      </c>
    </row>
    <row r="67" spans="1:8" ht="25.5">
      <c r="A67" s="139" t="s">
        <v>134</v>
      </c>
      <c r="B67" s="140"/>
      <c r="C67" s="72">
        <v>0</v>
      </c>
      <c r="D67" s="84"/>
      <c r="E67" s="84"/>
      <c r="F67" s="84"/>
      <c r="G67" s="57">
        <f t="shared" si="0"/>
        <v>0</v>
      </c>
      <c r="H67" s="92"/>
    </row>
    <row r="68" spans="1:8" ht="25.5">
      <c r="A68" s="141" t="s">
        <v>135</v>
      </c>
      <c r="B68" s="142"/>
      <c r="C68" s="72">
        <v>0</v>
      </c>
      <c r="D68" s="84"/>
      <c r="E68" s="84">
        <v>4091400</v>
      </c>
      <c r="F68" s="84"/>
      <c r="G68" s="57">
        <f>SUM(D68:F68)</f>
        <v>4091400</v>
      </c>
      <c r="H68" s="94"/>
    </row>
    <row r="69" spans="1:8" ht="25.5">
      <c r="A69" s="141" t="s">
        <v>136</v>
      </c>
      <c r="B69" s="142"/>
      <c r="C69" s="72">
        <v>0</v>
      </c>
      <c r="D69" s="84"/>
      <c r="E69" s="84">
        <v>943200</v>
      </c>
      <c r="F69" s="84"/>
      <c r="G69" s="57">
        <f t="shared" si="0"/>
        <v>943200</v>
      </c>
      <c r="H69" s="94"/>
    </row>
    <row r="70" spans="1:8" ht="25.5">
      <c r="A70" s="141" t="s">
        <v>137</v>
      </c>
      <c r="B70" s="142"/>
      <c r="C70" s="72">
        <v>0</v>
      </c>
      <c r="D70" s="84"/>
      <c r="E70" s="84">
        <v>122600</v>
      </c>
      <c r="F70" s="84"/>
      <c r="G70" s="57">
        <f t="shared" si="0"/>
        <v>122600</v>
      </c>
      <c r="H70" s="94"/>
    </row>
    <row r="71" spans="1:8" ht="25.5">
      <c r="A71" s="143" t="s">
        <v>173</v>
      </c>
      <c r="B71" s="142"/>
      <c r="C71" s="72">
        <v>0</v>
      </c>
      <c r="D71" s="84"/>
      <c r="E71" s="84">
        <v>237420</v>
      </c>
      <c r="F71" s="84"/>
      <c r="G71" s="57">
        <f t="shared" si="0"/>
        <v>237420</v>
      </c>
      <c r="H71" s="94"/>
    </row>
    <row r="72" spans="1:8" ht="25.5">
      <c r="A72" s="143" t="s">
        <v>138</v>
      </c>
      <c r="B72" s="144"/>
      <c r="C72" s="72"/>
      <c r="D72" s="84"/>
      <c r="E72" s="84"/>
      <c r="F72" s="84"/>
      <c r="G72" s="57">
        <f t="shared" si="0"/>
        <v>0</v>
      </c>
      <c r="H72" s="94"/>
    </row>
    <row r="73" spans="1:8" ht="25.5">
      <c r="A73" s="95" t="s">
        <v>139</v>
      </c>
      <c r="B73" s="145"/>
      <c r="C73" s="81">
        <v>0</v>
      </c>
      <c r="D73" s="81">
        <f>SUM(D67:D71)</f>
        <v>0</v>
      </c>
      <c r="E73" s="81">
        <f>SUM(E67:E72)</f>
        <v>5394620</v>
      </c>
      <c r="F73" s="81">
        <f>SUM(F67:F71)</f>
        <v>0</v>
      </c>
      <c r="G73" s="182">
        <f t="shared" si="0"/>
        <v>5394620</v>
      </c>
      <c r="H73" s="94"/>
    </row>
    <row r="74" spans="1:8" ht="25.5">
      <c r="A74" s="96" t="s">
        <v>140</v>
      </c>
      <c r="B74" s="97"/>
      <c r="C74" s="84"/>
      <c r="D74" s="84"/>
      <c r="E74" s="84"/>
      <c r="F74" s="84"/>
      <c r="G74" s="57">
        <f t="shared" si="0"/>
        <v>0</v>
      </c>
      <c r="H74" s="94"/>
    </row>
    <row r="75" spans="1:8" ht="63.75" customHeight="1">
      <c r="A75" s="146" t="s">
        <v>174</v>
      </c>
      <c r="B75" s="97"/>
      <c r="C75" s="84">
        <v>3381000</v>
      </c>
      <c r="D75" s="84"/>
      <c r="E75" s="84"/>
      <c r="F75" s="84"/>
      <c r="G75" s="57">
        <f>SUM(D75:F75)</f>
        <v>0</v>
      </c>
      <c r="H75" s="94"/>
    </row>
    <row r="76" spans="1:8" ht="77.25" customHeight="1">
      <c r="A76" s="147" t="s">
        <v>175</v>
      </c>
      <c r="B76" s="97"/>
      <c r="C76" s="84">
        <v>2410000</v>
      </c>
      <c r="D76" s="84"/>
      <c r="E76" s="84"/>
      <c r="F76" s="84"/>
      <c r="G76" s="57">
        <f>SUM(D76:F76)</f>
        <v>0</v>
      </c>
      <c r="H76" s="94"/>
    </row>
    <row r="77" spans="1:8" ht="55.5" customHeight="1">
      <c r="A77" s="147" t="s">
        <v>176</v>
      </c>
      <c r="B77" s="97"/>
      <c r="C77" s="84"/>
      <c r="D77" s="84"/>
      <c r="E77" s="84"/>
      <c r="F77" s="84"/>
      <c r="G77" s="57">
        <f>SUM(D77:F77)</f>
        <v>0</v>
      </c>
      <c r="H77" s="94"/>
    </row>
    <row r="78" spans="1:8" ht="25.5">
      <c r="A78" s="98" t="s">
        <v>141</v>
      </c>
      <c r="B78" s="68"/>
      <c r="C78" s="82">
        <v>0</v>
      </c>
      <c r="D78" s="82">
        <v>0</v>
      </c>
      <c r="E78" s="82">
        <v>0</v>
      </c>
      <c r="F78" s="82">
        <v>0</v>
      </c>
      <c r="G78" s="182">
        <f>SUM(D78:F78)</f>
        <v>0</v>
      </c>
      <c r="H78" s="94"/>
    </row>
    <row r="79" spans="1:8" ht="25.5">
      <c r="A79" s="67" t="s">
        <v>142</v>
      </c>
      <c r="B79" s="68"/>
      <c r="C79" s="69">
        <f>C66</f>
        <v>68400000</v>
      </c>
      <c r="D79" s="69">
        <f t="shared" ref="D79:F79" si="11">D66+D73</f>
        <v>2642506.7600000002</v>
      </c>
      <c r="E79" s="69">
        <f t="shared" si="11"/>
        <v>16388052.689999999</v>
      </c>
      <c r="F79" s="69">
        <f t="shared" si="11"/>
        <v>2319641.5900000003</v>
      </c>
      <c r="G79" s="82">
        <f>SUM(D79:F79)</f>
        <v>21350201.039999999</v>
      </c>
      <c r="H79" s="99"/>
    </row>
    <row r="80" spans="1:8" ht="25.5">
      <c r="A80" s="33"/>
      <c r="B80" s="33"/>
      <c r="C80" s="33"/>
      <c r="D80" s="33"/>
      <c r="E80" s="33"/>
      <c r="F80" s="33"/>
      <c r="G80" s="33"/>
      <c r="H80" s="33"/>
    </row>
    <row r="81" spans="1:8" ht="25.5">
      <c r="A81" s="33"/>
      <c r="B81" s="33"/>
      <c r="C81" s="33"/>
      <c r="D81" s="33"/>
      <c r="E81" s="33"/>
      <c r="F81" s="33"/>
      <c r="G81" s="33"/>
      <c r="H81" s="33"/>
    </row>
    <row r="82" spans="1:8" ht="26.25">
      <c r="A82" s="123"/>
      <c r="B82" s="123"/>
      <c r="C82" s="123"/>
      <c r="D82" s="123"/>
      <c r="E82" s="123"/>
      <c r="F82" s="123"/>
      <c r="G82" s="123"/>
      <c r="H82" s="123"/>
    </row>
    <row r="83" spans="1:8" ht="26.25">
      <c r="A83" s="124"/>
      <c r="B83" s="124"/>
      <c r="C83" s="124"/>
      <c r="D83" s="124"/>
      <c r="E83" s="124"/>
      <c r="F83" s="124"/>
      <c r="G83" s="124"/>
      <c r="H83" s="124"/>
    </row>
    <row r="84" spans="1:8" ht="25.5">
      <c r="A84" s="33"/>
      <c r="B84" s="33"/>
      <c r="C84" s="33"/>
      <c r="D84" s="33"/>
      <c r="E84" s="33"/>
      <c r="F84" s="33"/>
      <c r="G84" s="33"/>
      <c r="H84" s="33"/>
    </row>
    <row r="85" spans="1:8" ht="25.5">
      <c r="A85" s="33"/>
      <c r="B85" s="33"/>
      <c r="C85" s="33"/>
      <c r="D85" s="33"/>
      <c r="E85" s="33"/>
      <c r="F85" s="33"/>
      <c r="G85" s="33"/>
      <c r="H85" s="33"/>
    </row>
    <row r="86" spans="1:8" ht="25.5">
      <c r="A86" s="33"/>
      <c r="B86" s="33"/>
      <c r="C86" s="33"/>
      <c r="D86" s="33"/>
      <c r="E86" s="33"/>
      <c r="F86" s="33"/>
      <c r="G86" s="33"/>
      <c r="H86" s="33"/>
    </row>
    <row r="87" spans="1:8" ht="25.5">
      <c r="A87" s="100"/>
      <c r="B87" s="100"/>
      <c r="C87" s="100"/>
      <c r="D87" s="100"/>
      <c r="E87" s="100"/>
      <c r="F87" s="100"/>
      <c r="G87" s="100"/>
      <c r="H87" s="100"/>
    </row>
    <row r="88" spans="1:8" ht="26.25">
      <c r="A88" s="101"/>
      <c r="B88" s="101"/>
      <c r="C88" s="101"/>
      <c r="D88" s="101"/>
      <c r="E88" s="101"/>
      <c r="F88" s="101"/>
      <c r="G88" s="101"/>
      <c r="H88" s="101"/>
    </row>
    <row r="89" spans="1:8" ht="25.5">
      <c r="A89" s="33"/>
      <c r="B89" s="33"/>
      <c r="C89" s="33"/>
      <c r="D89" s="33"/>
      <c r="E89" s="33"/>
      <c r="F89" s="33"/>
      <c r="G89" s="33"/>
      <c r="H89" s="33"/>
    </row>
    <row r="91" spans="1:8" ht="25.5">
      <c r="A91" s="102"/>
      <c r="B91" s="102"/>
      <c r="C91" s="102"/>
      <c r="D91" s="102"/>
      <c r="E91" s="102"/>
      <c r="F91" s="102"/>
      <c r="G91" s="102"/>
      <c r="H91" s="102"/>
    </row>
    <row r="92" spans="1:8" ht="25.5">
      <c r="A92" s="102"/>
      <c r="B92" s="102"/>
      <c r="C92" s="102"/>
      <c r="D92" s="102"/>
      <c r="E92" s="102"/>
      <c r="F92" s="102"/>
      <c r="G92" s="102"/>
      <c r="H92" s="102"/>
    </row>
    <row r="93" spans="1:8" ht="25.5">
      <c r="A93" s="102"/>
      <c r="B93" s="102"/>
      <c r="C93" s="102"/>
      <c r="D93" s="102"/>
      <c r="E93" s="102"/>
      <c r="F93" s="102"/>
      <c r="G93" s="102"/>
      <c r="H93" s="102"/>
    </row>
    <row r="94" spans="1:8" ht="25.5">
      <c r="A94" s="102"/>
      <c r="B94" s="102"/>
      <c r="C94" s="102"/>
      <c r="D94" s="102"/>
      <c r="E94" s="102"/>
      <c r="F94" s="102"/>
      <c r="G94" s="102"/>
      <c r="H94" s="102"/>
    </row>
    <row r="95" spans="1:8" ht="25.5">
      <c r="A95" s="102"/>
      <c r="B95" s="102"/>
      <c r="C95" s="102"/>
      <c r="D95" s="102"/>
      <c r="E95" s="102"/>
      <c r="F95" s="102"/>
      <c r="G95" s="102"/>
      <c r="H95" s="102"/>
    </row>
    <row r="96" spans="1:8" ht="25.5">
      <c r="A96" s="102"/>
      <c r="B96" s="102"/>
      <c r="C96" s="102"/>
      <c r="D96" s="102"/>
      <c r="E96" s="102"/>
      <c r="F96" s="102"/>
      <c r="G96" s="102"/>
      <c r="H96" s="102"/>
    </row>
    <row r="97" spans="1:8" ht="25.5">
      <c r="A97" s="102"/>
      <c r="B97" s="102"/>
      <c r="C97" s="102"/>
      <c r="D97" s="102"/>
      <c r="E97" s="102"/>
      <c r="F97" s="102"/>
      <c r="G97" s="102"/>
      <c r="H97" s="102"/>
    </row>
    <row r="98" spans="1:8" ht="25.5">
      <c r="A98" s="102"/>
      <c r="B98" s="102"/>
      <c r="C98" s="102"/>
      <c r="D98" s="102"/>
      <c r="E98" s="102"/>
      <c r="F98" s="102"/>
      <c r="G98" s="102"/>
      <c r="H98" s="102"/>
    </row>
    <row r="99" spans="1:8" ht="25.5">
      <c r="A99" s="102"/>
      <c r="B99" s="102"/>
      <c r="C99" s="102"/>
      <c r="D99" s="102"/>
      <c r="E99" s="102"/>
      <c r="F99" s="102"/>
      <c r="G99" s="102"/>
      <c r="H99" s="102"/>
    </row>
    <row r="100" spans="1:8" ht="25.5">
      <c r="A100" s="102"/>
      <c r="B100" s="102"/>
      <c r="C100" s="102"/>
      <c r="D100" s="102"/>
      <c r="E100" s="102"/>
      <c r="F100" s="102"/>
      <c r="G100" s="102"/>
      <c r="H100" s="102"/>
    </row>
    <row r="101" spans="1:8" ht="25.5">
      <c r="A101" s="102"/>
      <c r="B101" s="102"/>
      <c r="C101" s="102"/>
      <c r="D101" s="102"/>
      <c r="E101" s="102"/>
      <c r="F101" s="102"/>
      <c r="G101" s="102"/>
      <c r="H101" s="102"/>
    </row>
    <row r="102" spans="1:8" ht="25.5">
      <c r="A102" s="102"/>
      <c r="B102" s="102"/>
      <c r="C102" s="102"/>
      <c r="D102" s="102"/>
      <c r="E102" s="102"/>
      <c r="F102" s="102"/>
      <c r="G102" s="102"/>
      <c r="H102" s="102"/>
    </row>
    <row r="103" spans="1:8" ht="25.5">
      <c r="A103" s="102"/>
      <c r="B103" s="102"/>
      <c r="C103" s="102"/>
      <c r="D103" s="102"/>
      <c r="E103" s="102"/>
      <c r="F103" s="102"/>
      <c r="G103" s="102"/>
      <c r="H103" s="102"/>
    </row>
    <row r="104" spans="1:8" ht="25.5">
      <c r="A104" s="102"/>
      <c r="B104" s="102"/>
      <c r="C104" s="102"/>
      <c r="D104" s="102"/>
      <c r="E104" s="102"/>
      <c r="F104" s="102"/>
      <c r="G104" s="102"/>
      <c r="H104" s="102"/>
    </row>
    <row r="105" spans="1:8" ht="25.5">
      <c r="A105" s="102"/>
      <c r="B105" s="102"/>
      <c r="C105" s="102"/>
      <c r="D105" s="102"/>
      <c r="E105" s="102"/>
      <c r="F105" s="102"/>
      <c r="G105" s="102"/>
      <c r="H105" s="102"/>
    </row>
    <row r="106" spans="1:8" ht="25.5">
      <c r="A106" s="102"/>
      <c r="B106" s="102"/>
      <c r="C106" s="102"/>
      <c r="D106" s="102"/>
      <c r="E106" s="102"/>
      <c r="F106" s="102"/>
      <c r="G106" s="102"/>
      <c r="H106" s="102"/>
    </row>
    <row r="107" spans="1:8" ht="25.5">
      <c r="A107" s="102"/>
      <c r="B107" s="102"/>
      <c r="C107" s="102"/>
      <c r="D107" s="102"/>
      <c r="E107" s="102"/>
      <c r="F107" s="102"/>
      <c r="G107" s="102"/>
      <c r="H107" s="102"/>
    </row>
    <row r="108" spans="1:8" ht="25.5">
      <c r="A108" s="102"/>
      <c r="B108" s="102"/>
      <c r="C108" s="102"/>
      <c r="D108" s="102"/>
      <c r="E108" s="102"/>
      <c r="F108" s="102"/>
      <c r="G108" s="102"/>
      <c r="H108" s="102"/>
    </row>
    <row r="109" spans="1:8" ht="25.5">
      <c r="A109" s="102"/>
      <c r="B109" s="102"/>
      <c r="C109" s="102"/>
      <c r="D109" s="102"/>
      <c r="E109" s="102"/>
      <c r="F109" s="102"/>
      <c r="G109" s="102"/>
      <c r="H109" s="102"/>
    </row>
    <row r="110" spans="1:8" ht="25.5">
      <c r="A110" s="102"/>
      <c r="B110" s="102"/>
      <c r="C110" s="102"/>
      <c r="D110" s="102"/>
      <c r="E110" s="102"/>
      <c r="F110" s="102"/>
      <c r="G110" s="102"/>
      <c r="H110" s="102"/>
    </row>
    <row r="111" spans="1:8" ht="25.5">
      <c r="A111" s="102"/>
      <c r="B111" s="102"/>
      <c r="C111" s="102"/>
      <c r="D111" s="102"/>
      <c r="E111" s="102"/>
      <c r="F111" s="102"/>
      <c r="G111" s="102"/>
      <c r="H111" s="102"/>
    </row>
    <row r="112" spans="1:8" ht="25.5">
      <c r="A112" s="102"/>
      <c r="B112" s="102"/>
      <c r="C112" s="102"/>
      <c r="D112" s="102"/>
      <c r="E112" s="102"/>
      <c r="F112" s="102"/>
      <c r="G112" s="102"/>
      <c r="H112" s="102"/>
    </row>
    <row r="113" spans="1:8" ht="25.5">
      <c r="A113" s="102"/>
      <c r="B113" s="102"/>
      <c r="C113" s="102"/>
      <c r="D113" s="103"/>
      <c r="E113" s="102"/>
      <c r="F113" s="104"/>
      <c r="G113" s="104"/>
      <c r="H113" s="102"/>
    </row>
    <row r="114" spans="1:8" ht="25.5">
      <c r="A114" s="102"/>
      <c r="B114" s="102"/>
      <c r="C114" s="102"/>
      <c r="D114" s="102"/>
      <c r="E114" s="102"/>
      <c r="F114" s="102"/>
      <c r="G114" s="102"/>
      <c r="H114" s="102"/>
    </row>
    <row r="122" spans="1:8" ht="25.5">
      <c r="A122" s="102"/>
      <c r="B122" s="102"/>
      <c r="C122" s="102"/>
      <c r="D122" s="103"/>
      <c r="E122" s="102"/>
      <c r="F122" s="104"/>
      <c r="G122" s="104"/>
      <c r="H122" s="102"/>
    </row>
    <row r="123" spans="1:8" ht="25.5">
      <c r="A123" s="102"/>
      <c r="B123" s="102"/>
      <c r="C123" s="102"/>
      <c r="D123" s="102"/>
      <c r="E123" s="102"/>
      <c r="F123" s="102"/>
      <c r="G123" s="102"/>
      <c r="H123" s="102"/>
    </row>
    <row r="124" spans="1:8" ht="25.5">
      <c r="A124" s="102"/>
      <c r="B124" s="102"/>
      <c r="C124" s="102"/>
      <c r="D124" s="102"/>
      <c r="E124" s="102"/>
      <c r="F124" s="102"/>
      <c r="G124" s="102"/>
      <c r="H124" s="102"/>
    </row>
    <row r="125" spans="1:8" ht="25.5">
      <c r="A125" s="102"/>
      <c r="B125" s="102"/>
      <c r="C125" s="102"/>
      <c r="D125" s="103"/>
      <c r="E125" s="102"/>
      <c r="F125" s="104"/>
      <c r="G125" s="104"/>
      <c r="H125" s="102"/>
    </row>
    <row r="126" spans="1:8" ht="25.5">
      <c r="A126" s="102"/>
      <c r="B126" s="102"/>
      <c r="C126" s="102"/>
      <c r="D126" s="103"/>
      <c r="E126" s="102"/>
      <c r="F126" s="104"/>
      <c r="G126" s="104"/>
      <c r="H126" s="102"/>
    </row>
    <row r="127" spans="1:8" ht="25.5">
      <c r="A127" s="102"/>
      <c r="B127" s="102"/>
      <c r="C127" s="102"/>
      <c r="D127" s="103"/>
      <c r="E127" s="102"/>
      <c r="F127" s="104"/>
      <c r="G127" s="104"/>
      <c r="H127" s="102"/>
    </row>
    <row r="128" spans="1:8" ht="25.5">
      <c r="A128" s="102"/>
      <c r="B128" s="102"/>
      <c r="C128" s="102"/>
      <c r="D128" s="103"/>
      <c r="E128" s="102"/>
      <c r="F128" s="104"/>
      <c r="G128" s="104"/>
      <c r="H128" s="102"/>
    </row>
    <row r="129" spans="1:8" ht="25.5">
      <c r="A129" s="102"/>
      <c r="B129" s="102"/>
      <c r="C129" s="102"/>
      <c r="D129" s="103"/>
      <c r="E129" s="102"/>
      <c r="F129" s="104"/>
      <c r="G129" s="104"/>
      <c r="H129" s="102"/>
    </row>
    <row r="130" spans="1:8" ht="25.5">
      <c r="A130" s="102"/>
      <c r="B130" s="102"/>
      <c r="C130" s="102"/>
      <c r="D130" s="103"/>
      <c r="E130" s="102"/>
      <c r="F130" s="104"/>
      <c r="G130" s="104"/>
      <c r="H130" s="102"/>
    </row>
    <row r="131" spans="1:8" ht="25.5">
      <c r="A131" s="102"/>
      <c r="B131" s="102"/>
      <c r="C131" s="102"/>
      <c r="D131" s="103"/>
      <c r="E131" s="102"/>
      <c r="F131" s="104"/>
      <c r="G131" s="104"/>
      <c r="H131" s="102"/>
    </row>
    <row r="132" spans="1:8" ht="25.5">
      <c r="A132" s="102"/>
      <c r="B132" s="102"/>
      <c r="C132" s="102"/>
      <c r="D132" s="103"/>
      <c r="E132" s="102"/>
      <c r="F132" s="104"/>
      <c r="G132" s="104"/>
      <c r="H132" s="102"/>
    </row>
    <row r="133" spans="1:8" ht="25.5">
      <c r="A133" s="102"/>
      <c r="B133" s="102"/>
      <c r="C133" s="102"/>
      <c r="D133" s="103"/>
      <c r="E133" s="102"/>
      <c r="F133" s="104"/>
      <c r="G133" s="104"/>
      <c r="H133" s="102"/>
    </row>
  </sheetData>
  <mergeCells count="4">
    <mergeCell ref="A2:H2"/>
    <mergeCell ref="A3:H3"/>
    <mergeCell ref="A4:H4"/>
    <mergeCell ref="H6:H7"/>
  </mergeCells>
  <pageMargins left="0.43307086614173229" right="0.27559055118110237" top="0.43307086614173229" bottom="0.74803149606299213" header="0.31496062992125984" footer="0.31496062992125984"/>
  <pageSetup paperSize="9" scale="87" orientation="portrait" r:id="rId1"/>
  <headerFooter>
    <oddFooter>หน้าที่ &amp;P จาก &amp;N</oddFooter>
  </headerFooter>
  <rowBreaks count="2" manualBreakCount="2">
    <brk id="34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ผลการดำเนินงาน1</vt:lpstr>
      <vt:lpstr>รายงานรายจ่ายตามแผนงาน1</vt:lpstr>
      <vt:lpstr>รายรับ(1)</vt:lpstr>
      <vt:lpstr>ผลการดำเนินงาน1!Print_Area</vt:lpstr>
      <vt:lpstr>รายงานรายจ่ายตามแผนงาน1!Print_Area</vt:lpstr>
      <vt:lpstr>'รายรับ(1)'!Print_Titles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สำนักงานตรวจเงินแผ่นดิน</dc:creator>
  <cp:lastModifiedBy>KKD Windows 7 V.3</cp:lastModifiedBy>
  <cp:lastPrinted>2016-07-21T02:46:26Z</cp:lastPrinted>
  <dcterms:created xsi:type="dcterms:W3CDTF">2001-10-11T13:56:39Z</dcterms:created>
  <dcterms:modified xsi:type="dcterms:W3CDTF">2016-08-22T02:22:04Z</dcterms:modified>
</cp:coreProperties>
</file>