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0" yWindow="615" windowWidth="11550" windowHeight="7710" tabRatio="918" activeTab="2"/>
  </bookViews>
  <sheets>
    <sheet name="ใบผ่านมาตรฐาน 1, 2" sheetId="1" r:id="rId1"/>
    <sheet name="งบทดลอง " sheetId="2" r:id="rId2"/>
    <sheet name="รับ-จ่ายเงินสด   " sheetId="3" r:id="rId3"/>
    <sheet name="หมายเหตุ1 " sheetId="4" r:id="rId4"/>
    <sheet name="หมายเหตุ 3" sheetId="5" r:id="rId5"/>
    <sheet name="หมายเหตุ2  " sheetId="6" r:id="rId6"/>
    <sheet name="งบกระทบยอดธนาคาร (2)" sheetId="7" r:id="rId7"/>
    <sheet name="กระแสเงินสด" sheetId="8" r:id="rId8"/>
    <sheet name="Sheet3" sheetId="9" r:id="rId9"/>
  </sheets>
  <externalReferences>
    <externalReference r:id="rId12"/>
    <externalReference r:id="rId13"/>
  </externalReferences>
  <definedNames>
    <definedName name="_xlnm.Print_Area" localSheetId="6">'งบกระทบยอดธนาคาร (2)'!$A$1:$L$73</definedName>
    <definedName name="_xlnm.Print_Area" localSheetId="0">'ใบผ่านมาตรฐาน 1, 2'!$A$1:$H$119</definedName>
    <definedName name="_xlnm.Print_Area" localSheetId="2">'รับ-จ่ายเงินสด   '!$A$1:$U$74</definedName>
  </definedNames>
  <calcPr fullCalcOnLoad="1"/>
</workbook>
</file>

<file path=xl/sharedStrings.xml><?xml version="1.0" encoding="utf-8"?>
<sst xmlns="http://schemas.openxmlformats.org/spreadsheetml/2006/main" count="835" uniqueCount="506">
  <si>
    <t>วันที่</t>
  </si>
  <si>
    <t>รายการ</t>
  </si>
  <si>
    <t>กองคลัง</t>
  </si>
  <si>
    <t>เครดิต</t>
  </si>
  <si>
    <t>เดบิท</t>
  </si>
  <si>
    <t>รหัสบัญชี</t>
  </si>
  <si>
    <t>จำนวนเงิน</t>
  </si>
  <si>
    <t xml:space="preserve"> </t>
  </si>
  <si>
    <t>เงินรายรับ</t>
  </si>
  <si>
    <t>รายงาน รับ - จ่าย เงินสด</t>
  </si>
  <si>
    <t>จนถึงปัจจุบัน</t>
  </si>
  <si>
    <t>เดือนนี้</t>
  </si>
  <si>
    <t>ประมาณการ</t>
  </si>
  <si>
    <t>เกิดขึ้นจริง</t>
  </si>
  <si>
    <t>รหัส</t>
  </si>
  <si>
    <t>บาท</t>
  </si>
  <si>
    <t>บัญชี</t>
  </si>
  <si>
    <t>ยอดยกมา</t>
  </si>
  <si>
    <t>ภาษีอากร</t>
  </si>
  <si>
    <t>ค่าธรรมเนียม ค่าปรับและใบอนุญาต</t>
  </si>
  <si>
    <t>รายได้จากทรัพย์สิน</t>
  </si>
  <si>
    <t>รายได้เบ็ดเตล็ด</t>
  </si>
  <si>
    <t>ภาษีจัดสรร</t>
  </si>
  <si>
    <t>เงินอุดหนุน</t>
  </si>
  <si>
    <t>รวมรายรับ</t>
  </si>
  <si>
    <t>รายจ่าย</t>
  </si>
  <si>
    <t>เงินเดือน</t>
  </si>
  <si>
    <t>ค่าจ้างประจำ</t>
  </si>
  <si>
    <t>ค่าตอบแทน</t>
  </si>
  <si>
    <t>ค่าใช้สอย</t>
  </si>
  <si>
    <t>ค่าวัสดุ</t>
  </si>
  <si>
    <t>ค่าสาธารณูปโภค</t>
  </si>
  <si>
    <t>ค่าที่ดินและสิ่งก่อสร้าง</t>
  </si>
  <si>
    <t>เงินสะสม</t>
  </si>
  <si>
    <t>รายรับ                          รายจ่าย</t>
  </si>
  <si>
    <t>ยอดยกไป</t>
  </si>
  <si>
    <t>ผู้จัดทำ</t>
  </si>
  <si>
    <t>ผู้อนุมัติ</t>
  </si>
  <si>
    <t>ผู้บันทึกบัญชี</t>
  </si>
  <si>
    <t xml:space="preserve">                                 ใบผ่านรายการบัญชีมาตรฐาน</t>
  </si>
  <si>
    <t>งบกระทบยอดเงินฝากธนาคาร</t>
  </si>
  <si>
    <t>บวก</t>
  </si>
  <si>
    <t>เงินฝากระหว่างทาง</t>
  </si>
  <si>
    <t>วันที่ลงบัญชี</t>
  </si>
  <si>
    <t>เลขที่เช็ค</t>
  </si>
  <si>
    <t>หัก</t>
  </si>
  <si>
    <t xml:space="preserve">หรือ (หัก)  รายการกระทบยอดอื่น ๆ </t>
  </si>
  <si>
    <t>รายละเอียด</t>
  </si>
  <si>
    <t xml:space="preserve">   ผู้ตรวจสอบ</t>
  </si>
  <si>
    <t>(ลงชื่อ)...........................................................</t>
  </si>
  <si>
    <t>องค์การบริหารส่วนตำบลจอมบึง</t>
  </si>
  <si>
    <t xml:space="preserve">เลขที่บัญชี    </t>
  </si>
  <si>
    <t>วันที่ฝากธนาคาร</t>
  </si>
  <si>
    <t>เช็คจ่ายที่ผู้รับยังไม่นำมาขึ้นเงินกับธนาคาร</t>
  </si>
  <si>
    <t xml:space="preserve">บาท </t>
  </si>
  <si>
    <t xml:space="preserve">        (ลงชื่อ)..............................................................</t>
  </si>
  <si>
    <t>ประกันสัญญา</t>
  </si>
  <si>
    <t>ภาษีธุรกิจเฉพาะ</t>
  </si>
  <si>
    <t>ภาษีสุรา</t>
  </si>
  <si>
    <t>ภาษีสรรพสามิต</t>
  </si>
  <si>
    <t>ค่าภาคหลวงแร่</t>
  </si>
  <si>
    <t>ค่าธรรมเนียมนิติกรรมที่ดิน</t>
  </si>
  <si>
    <t>ค่าภาคหลวงปิโตรเลียม</t>
  </si>
  <si>
    <t>ภาษีโรงเรือนและที่ดิน</t>
  </si>
  <si>
    <t>ภาษีบำรุงท้องที่</t>
  </si>
  <si>
    <t>ภาษีป้าย</t>
  </si>
  <si>
    <t>องค์การบริหารส่วนตำบลจอมบึง   อำเภอจอมบึง  จังหวัดราชบุรี</t>
  </si>
  <si>
    <t xml:space="preserve">งบทดลอง </t>
  </si>
  <si>
    <t>เงินฝากธนาคาร กรุงไทย (ออมทรัพย์) เลขที่ 744-1-17485-6</t>
  </si>
  <si>
    <t>เงินฝาก ธกส. (ออมทรัพย์) เลขที่ 143-2-21177-7</t>
  </si>
  <si>
    <t>เงินฝาก ธกส. (ออมทรัพย์) เลขที่ 143-2-25754-7</t>
  </si>
  <si>
    <t xml:space="preserve"> - 2 -</t>
  </si>
  <si>
    <t>เงินอุดหนุนทั่วไป</t>
  </si>
  <si>
    <t>ภาษีหัก  ณ  ที่จ่าย</t>
  </si>
  <si>
    <t>รวม</t>
  </si>
  <si>
    <t xml:space="preserve">ยอดคงเหลือตามบัญชีเงินฝากของ  อบต.จอมบึง  ณ  วันที่  </t>
  </si>
  <si>
    <t xml:space="preserve">ยอดเงินคงเหลือตามรายงาน  บมจ.ธนาคารกรุงไทย  ณ  วันที่ </t>
  </si>
  <si>
    <t>องค์การบริหารส่วนตำบลจอมบึง   อำเภอจอมบึง   จังหวัดราชบุรี</t>
  </si>
  <si>
    <t>รายรับจริงประกอบงบทดลองและรายงานรับ - จ่ายเงินสด</t>
  </si>
  <si>
    <t>รายได้จัดเก็บเอง</t>
  </si>
  <si>
    <t>หมวดภาษีอากร</t>
  </si>
  <si>
    <t>หมวดค่าธรรมเนียม  ค่าปรับและใบอนุญาต</t>
  </si>
  <si>
    <t>ค่าธรรมเนียมเกี่ยวกับใบอนุญาตการขายสุรา</t>
  </si>
  <si>
    <t>ค่าธรรมเนียมเกี่ยวกับใบอนุญาตการพนัน</t>
  </si>
  <si>
    <t>ค่าปรับผู้กระทำผิดกฎหมายจราจรทางบก</t>
  </si>
  <si>
    <t>ค่าใบอนุญาตเกี่ยวกับการโฆษณาโดยใช้เครื่องขยายเสียง</t>
  </si>
  <si>
    <t>หมวดรายได้จากทรัพย์สิน</t>
  </si>
  <si>
    <t>ดอกเบี้ย</t>
  </si>
  <si>
    <t>หมวดรายได้เบ็ดเตล็ด</t>
  </si>
  <si>
    <t>ค่าขายแบบแปลน</t>
  </si>
  <si>
    <t xml:space="preserve">รายได้เบ็ดเตล็ดอื่น ๆ </t>
  </si>
  <si>
    <t>รายได้ที่รัฐบาลเก็บแล้วจัดสรรให้องค์กรปกครองส่วนท้องถิ่น</t>
  </si>
  <si>
    <t>หมวดภาษีจัดสรร</t>
  </si>
  <si>
    <t>ภาษีและค่าธรรมเนียมรถยนต์หรือล้อเลื่อน</t>
  </si>
  <si>
    <t>ค่าภาคหลวงและค่าธรรมเนียมป่าไม้</t>
  </si>
  <si>
    <t>รายได้ที่รัฐบาลอุดหนุนให้องค์กรปกครองท้องถิ่น</t>
  </si>
  <si>
    <t>หมวดเงินอุดหนุน</t>
  </si>
  <si>
    <t>(หรือเงินอุดหนุนทั่วไป)</t>
  </si>
  <si>
    <t>รวมรายได้ทั้งสิ้น</t>
  </si>
  <si>
    <t>รับ</t>
  </si>
  <si>
    <t>จ่าย</t>
  </si>
  <si>
    <t>คงเหลือ</t>
  </si>
  <si>
    <t>ส่วนลด ภบท. 6%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</si>
  <si>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</si>
  <si>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</si>
  <si>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</si>
  <si>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</si>
  <si>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</si>
  <si>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</si>
  <si>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</si>
  <si>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</si>
  <si>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</si>
  <si>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รายรับ  (หมายเหตุ 1)</t>
  </si>
  <si>
    <t>เงินรับฝาก  (หมายเหตุ 2)</t>
  </si>
  <si>
    <t>รายละเอียดเงินรับฝาก  ประกอบงบทดลองและรายงานรับ - จ่ายเงินสด</t>
  </si>
  <si>
    <t>สูงกว่า</t>
  </si>
  <si>
    <t>(ต่ำกว่า)</t>
  </si>
  <si>
    <t>หมวดที่จ่าย</t>
  </si>
  <si>
    <t>รายงานกระแสเงินสด</t>
  </si>
  <si>
    <t>รายรับ</t>
  </si>
  <si>
    <t>ตั้งแต่ต้นปีถึงปัจจุบัน</t>
  </si>
  <si>
    <t>รับเงินอุดหนุนทั่วไป</t>
  </si>
  <si>
    <t>จ่ายเงินรับฝาก</t>
  </si>
  <si>
    <t>จ่ายเงินสะสม</t>
  </si>
  <si>
    <t>รายจ่ายค้างจ่าย</t>
  </si>
  <si>
    <t>เงินทุนสำรองเงินสะสม</t>
  </si>
  <si>
    <t>080</t>
  </si>
  <si>
    <t>ค่าครุภัณฑ์</t>
  </si>
  <si>
    <t>ค่าใบอนุญาตจัดตั้งสถานที่จำหน่ายอาหารหรือสถานที่สะสม</t>
  </si>
  <si>
    <t>อาหารในอาคาร หรือพื้นที่ใด  ซึ่งมีพื้นที่เกิน  200  ตารางเมตร</t>
  </si>
  <si>
    <t>ค่าใบอนุญาตอื่น ๆ (ค่าใบอนุญาตประกอบกิจการที่เป็นอันตรายฯ)</t>
  </si>
  <si>
    <t>ปิดทะเบียนเงินรายรับ</t>
  </si>
  <si>
    <t>รับจริงเดือนนี้</t>
  </si>
  <si>
    <t>รับจริงถึงปัจจุบัน</t>
  </si>
  <si>
    <t>รายได้ที่รัฐบาลอุดหนุนให้โดยระบุวัตถุประสงค์</t>
  </si>
  <si>
    <t>คงเหลือค้างจ่าย</t>
  </si>
  <si>
    <t>(หมายเลข 1)</t>
  </si>
  <si>
    <t>(หมายเลข 2)</t>
  </si>
  <si>
    <t>(หมายเลข 3)</t>
  </si>
  <si>
    <t>ปรับปรุงสมุดเงินสดรับไปบัญชีแยกประเภท</t>
  </si>
  <si>
    <t xml:space="preserve"> ค่าสาธารณูปโภค</t>
  </si>
  <si>
    <t xml:space="preserve">ยอดเงินคงเหลือตามรายงาน  ธนาคาร  ธกส.  สาขาจอมบึง  ณ  วันที่ </t>
  </si>
  <si>
    <t>งบกลาง</t>
  </si>
  <si>
    <r>
      <t>ฝ่าย</t>
    </r>
    <r>
      <rPr>
        <sz val="16"/>
        <rFont val="Angsana New"/>
        <family val="1"/>
      </rPr>
      <t xml:space="preserve"> </t>
    </r>
  </si>
  <si>
    <r>
      <t>คำอธิบาย</t>
    </r>
    <r>
      <rPr>
        <b/>
        <sz val="16"/>
        <rFont val="Angsana New"/>
        <family val="1"/>
      </rPr>
      <t xml:space="preserve"> เพื่อบันทึก</t>
    </r>
  </si>
  <si>
    <t>ค่าปรับผิดสัญญา</t>
  </si>
  <si>
    <r>
      <t>คำอธิบาย</t>
    </r>
    <r>
      <rPr>
        <b/>
        <sz val="15"/>
        <rFont val="Angsana New"/>
        <family val="1"/>
      </rPr>
      <t xml:space="preserve"> เพื่อบันทึก</t>
    </r>
  </si>
  <si>
    <t>ภาษีมูลค่าเพิ่ม (พ.ร.บ.)</t>
  </si>
  <si>
    <t>ภาษีมูลค่าเพิ่ม (1 ใน 9)</t>
  </si>
  <si>
    <t>เงินรับฝาก         - ภาษีหัก ณ ที่จ่าย</t>
  </si>
  <si>
    <t>ที่ดินและสิ่งก่อสร้าง</t>
  </si>
  <si>
    <t>เงินรับฝาก - ภาษีหัก ณ ที่จ่าย</t>
  </si>
  <si>
    <t>เงินฝากธนาคารกรุงไทย กระแสรายวัน(744-6-00292-1)</t>
  </si>
  <si>
    <t>เงินฝากธนาคาร ธกส.-กระแสรายวัน(143-5-00013-3)</t>
  </si>
  <si>
    <t>ย/ม</t>
  </si>
  <si>
    <t>744 - 1 - 17485 - 6</t>
  </si>
  <si>
    <t>เงินฝากธนาคารกรุงไทย - ออมทรัพย์   (744-1-17485-6)</t>
  </si>
  <si>
    <t xml:space="preserve">        </t>
  </si>
  <si>
    <t>จ่ายเดือนนี้</t>
  </si>
  <si>
    <t>(นางสาวศรีไพร   อินทร)</t>
  </si>
  <si>
    <t>ธ.ก.ส.   สาขาจอมบึง</t>
  </si>
  <si>
    <t>ธนาคารกรุงไทย   สาขาจอมบึง</t>
  </si>
  <si>
    <t>เงินรับฝาก  - ส่วนลดในการจัดเก็บ ภบท.6%</t>
  </si>
  <si>
    <t>คำอธิบาย      เพื่อบันทึก</t>
  </si>
  <si>
    <t>ภาษีมูลค่าเพิ่ม (1ใน9)</t>
  </si>
  <si>
    <t>ค่าธรรมเนียมใบอนุญาตสะสม/จำหน่ายอาหาร</t>
  </si>
  <si>
    <t>ค่าธรรมเนียมใบอนุญาตกิจการที่เป็นอันตรายฯ</t>
  </si>
  <si>
    <t>ค่าดอกเบี้ยเงินฝากธนาคาร</t>
  </si>
  <si>
    <t>ลูกหนี้ เงินยืมเงินงบประมาณ</t>
  </si>
  <si>
    <t xml:space="preserve">ยอดคงเหลือตามบัญชีเงินฝากของ  อบต.จอมบึง     ณ  วันที่  </t>
  </si>
  <si>
    <t>ยอดเดิม</t>
  </si>
  <si>
    <t>ปรับปรุงสมุดเงินสดจ่ายไปบัญชีแยกประเภท</t>
  </si>
  <si>
    <t>ภาษีหน้าฎีกา</t>
  </si>
  <si>
    <t xml:space="preserve">รายจ่ายค้างจ่าย  </t>
  </si>
  <si>
    <r>
      <t xml:space="preserve">รายรับ  </t>
    </r>
    <r>
      <rPr>
        <sz val="14"/>
        <rFont val="AngsanaUPC"/>
        <family val="1"/>
      </rPr>
      <t>(หมายเหตุ 1)</t>
    </r>
  </si>
  <si>
    <t>เงินอุดหนุนเฉพาะกิจ</t>
  </si>
  <si>
    <t>เงินสด</t>
  </si>
  <si>
    <t xml:space="preserve"> เงินสด</t>
  </si>
  <si>
    <t>รับเงินรายรับ  (รายได้จัดเก็บเอง)</t>
  </si>
  <si>
    <t>รับเงินรายรับ  (ภาษีจัดสรร)</t>
  </si>
  <si>
    <t>รายได้เบ็ตเตล็ด</t>
  </si>
  <si>
    <t>ยอดยกมาเดือนก่อน</t>
  </si>
  <si>
    <t>(10)</t>
  </si>
  <si>
    <t>ค่าธรรมเนียมน้ำบาดาลและใช้น้ำบาดาล</t>
  </si>
  <si>
    <t>เงินทุน ศก.ชช บัญชี 2</t>
  </si>
  <si>
    <t>412210</t>
  </si>
  <si>
    <t>411001</t>
  </si>
  <si>
    <t>411002</t>
  </si>
  <si>
    <t>411003</t>
  </si>
  <si>
    <t>421004</t>
  </si>
  <si>
    <t>421006</t>
  </si>
  <si>
    <t>421007</t>
  </si>
  <si>
    <t>421013</t>
  </si>
  <si>
    <t>421015</t>
  </si>
  <si>
    <t>412303</t>
  </si>
  <si>
    <t>413003</t>
  </si>
  <si>
    <t>415004</t>
  </si>
  <si>
    <t>415999</t>
  </si>
  <si>
    <t>230102</t>
  </si>
  <si>
    <t>6110605</t>
  </si>
  <si>
    <t>300000</t>
  </si>
  <si>
    <t>110203</t>
  </si>
  <si>
    <t>110200</t>
  </si>
  <si>
    <t>400000</t>
  </si>
  <si>
    <t>รายจ่ายอื่น</t>
  </si>
  <si>
    <t>110201</t>
  </si>
  <si>
    <t>110202</t>
  </si>
  <si>
    <t>320000</t>
  </si>
  <si>
    <t>230100</t>
  </si>
  <si>
    <t>5542000</t>
  </si>
  <si>
    <t>412000</t>
  </si>
  <si>
    <t>413000</t>
  </si>
  <si>
    <t>415000</t>
  </si>
  <si>
    <t>421000</t>
  </si>
  <si>
    <t>431000</t>
  </si>
  <si>
    <t>5510000</t>
  </si>
  <si>
    <t>5521000</t>
  </si>
  <si>
    <t>5531000</t>
  </si>
  <si>
    <t>5532000</t>
  </si>
  <si>
    <t>5533000</t>
  </si>
  <si>
    <t>5534000</t>
  </si>
  <si>
    <t>5541000</t>
  </si>
  <si>
    <t>5560000</t>
  </si>
  <si>
    <t>5510100</t>
  </si>
  <si>
    <t>7610100</t>
  </si>
  <si>
    <t>5210400</t>
  </si>
  <si>
    <t>เงินอุดหนุนทั่วไป สำหรับ อปทที่มีการบริหารจัดการที่ดี</t>
  </si>
  <si>
    <t>หมวดเงินอุดหนุนระบุวัตถุประสงค์</t>
  </si>
  <si>
    <t>ค่าปรับการผิดสัญญา</t>
  </si>
  <si>
    <t>ภาษีมูลค่าเพิ่ม (พ.ร.บ.) กำหนดแผนฯ</t>
  </si>
  <si>
    <t>ค่าธรรมเนียมจดทะเบียนสิทธิและนิติตามประมวลกฎหมายที่ดิน</t>
  </si>
  <si>
    <t>ลูกหนี้ - ค่าภาษีโรงเรือนและที่ดิน</t>
  </si>
  <si>
    <t>ลูกหนี้ - ค่าภาษีบำรุงท้องที่</t>
  </si>
  <si>
    <t>ลูกหนี้  ภาษีบำรุงท้องที่</t>
  </si>
  <si>
    <t xml:space="preserve">รายจ่ายรอจ่าย  </t>
  </si>
  <si>
    <t>เงินฝากธนาคารกรุงไทย (ประจำ) เลขที่ 744-2-01169 - 1</t>
  </si>
  <si>
    <t>ลูกหนี้ - ภาษีโรงเรือนและที่ดิน</t>
  </si>
  <si>
    <t>ลูกหนี้ - ภาษีบำรุงท้องที่</t>
  </si>
  <si>
    <t>ลูกหนี้ - ภาษีป้าย</t>
  </si>
  <si>
    <t>ลูกหนี้ - ภาษีบำรุงท้อง</t>
  </si>
  <si>
    <t xml:space="preserve">           (นางอุบล   คำภูแสน)</t>
  </si>
  <si>
    <t>421003</t>
  </si>
  <si>
    <t>421005</t>
  </si>
  <si>
    <t>421012</t>
  </si>
  <si>
    <t>412109</t>
  </si>
  <si>
    <t>เงินอุดหนุนเฉพาะกิจเบี้ยผู้สูงอายุ</t>
  </si>
  <si>
    <t>เงินอุดหนุนเฉพาะกิจเบี้ยผู้พิการ</t>
  </si>
  <si>
    <t>ค่าธรรมเนียมจดทะเบียนพาณิชย์</t>
  </si>
  <si>
    <t>412128</t>
  </si>
  <si>
    <t>เงินค้ำประกันสัญญา</t>
  </si>
  <si>
    <t>440001</t>
  </si>
  <si>
    <t>สูงอายุ (รัฐบาล)</t>
  </si>
  <si>
    <t>สมุดบ/ช</t>
  </si>
  <si>
    <t>สถานะประจำวัน</t>
  </si>
  <si>
    <t>440002</t>
  </si>
  <si>
    <t>550000</t>
  </si>
  <si>
    <t>560000</t>
  </si>
  <si>
    <t>ปี 55 รอจ่าย</t>
  </si>
  <si>
    <t>เงินฝากธนาคาร กรุงไทย (กระแสรายวัน) เลขที่ 744-6-00292-1</t>
  </si>
  <si>
    <t>เงินฝากธนาคาร กรุงไทย (กระแสรายวัน) เลขที่ 744-6-00223-9</t>
  </si>
  <si>
    <t>เงินฝาก ธกส. (กระแสรายวัน) เลขที่ 143-5-00013-3</t>
  </si>
  <si>
    <t>เงินฝากธนาคารกรุงไทย - กระแสรายวัน   (744-6-00223-9)</t>
  </si>
  <si>
    <t xml:space="preserve">รับเงินรับฝาก </t>
  </si>
  <si>
    <t>จ่ายเงินตามงบประมาณ</t>
  </si>
  <si>
    <t>ค่าจ้างชั่วคราว</t>
  </si>
  <si>
    <t>รับเงินอุดหนุนเฉพาะกิจ (ผู้สูงอายุ)</t>
  </si>
  <si>
    <t>รับเงินอุดหนุนเฉพาะกิจ (ผู้พิการ)</t>
  </si>
  <si>
    <t>ลูกหนี้ เงินยืมเงินสะสม</t>
  </si>
  <si>
    <t xml:space="preserve">          มาจากสมุดเงินสดรับและสมุดเงินสดจ่ายไม่เกี่ยวกับรายการปรับปรุงบัญชีที่เกิด</t>
  </si>
  <si>
    <t>ลูกหนี้ยืมเงินสะสม</t>
  </si>
  <si>
    <t>เงินอุดหนุนเฉพาะกิจค่าจ้างชั่วคราว ศูนย์พัฒนาเด็กเล็ก</t>
  </si>
  <si>
    <t>เงินอุดหนุนเฉพาะกิจประกันสังคมศูนย์พัฒนาเด็กเล็ก</t>
  </si>
  <si>
    <t>รับเงินอุดหนุนเฉพาะกิจ ค่าจ้างชั่วคราว ผดด</t>
  </si>
  <si>
    <t>รับเงินอุดหนุนเฉพาะกิจ ประกันสังคม ผดด</t>
  </si>
  <si>
    <t>เงินฝากธนาคารกรุงไทย ประจำเลขที่ 744-2-01169-1</t>
  </si>
  <si>
    <t>เงินฝากธนาคารออมสินประจำเลขที่ 36136000138-8</t>
  </si>
  <si>
    <t>เงินเดือน (การเมือง)</t>
  </si>
  <si>
    <t>เงินเดือน(ฝ่ายประจำ)</t>
  </si>
  <si>
    <t>พิการ (รัฐบาล)</t>
  </si>
  <si>
    <t>เงินฝากธนาคารออมสิน(ประจำ) เลขที่ 36136000138-8</t>
  </si>
  <si>
    <t>ลูกหนี้  ภาษีโรงเรือนและที่ดิน</t>
  </si>
  <si>
    <t>440003</t>
  </si>
  <si>
    <t>440004</t>
  </si>
  <si>
    <t>ประกันสังคม</t>
  </si>
  <si>
    <r>
      <t>ค่าที่ดินและสิ่งก่อสร้าง</t>
    </r>
    <r>
      <rPr>
        <sz val="12"/>
        <color indexed="9"/>
        <rFont val="AngsanaUPC"/>
        <family val="1"/>
      </rPr>
      <t xml:space="preserve"> ข้อบัญญัติ</t>
    </r>
  </si>
  <si>
    <t>ผดด 3</t>
  </si>
  <si>
    <t>ผดด 1</t>
  </si>
  <si>
    <t>440005</t>
  </si>
  <si>
    <t>ยาเสพติด</t>
  </si>
  <si>
    <t>เงินอุดหนุนเฉพาะกิจค่าจ้างชั่วคราว ศูนย์พัฒนาเด็กเล็ก (ราชการ)</t>
  </si>
  <si>
    <t>เงินอุดหนุน ยาเสพติด</t>
  </si>
  <si>
    <t>เงินฝากธนาคาร ธกส - ออมทรัพย์   (01143-2-21177-7)</t>
  </si>
  <si>
    <t>เงินฝากธนาคาร ธกส - ออมทรัพย์   (01143-2-25754-7)</t>
  </si>
  <si>
    <t>นักวิชาการเงินและบัญชี</t>
  </si>
  <si>
    <t>เงินฝากธนาคาร ธกส - กระแสรายวัน   (143-5-000-13-3)</t>
  </si>
  <si>
    <t>เงินอุดหนุน ขยายท่อเมนประปา ม 13</t>
  </si>
  <si>
    <t>ลูกหนี้ยืมเงินงบประมาณ</t>
  </si>
  <si>
    <t>01143 - 2 - 21177 - 7</t>
  </si>
  <si>
    <t>ภาษีการพนัน</t>
  </si>
  <si>
    <t>421008</t>
  </si>
  <si>
    <t>คงเหลือรอจ่าย</t>
  </si>
  <si>
    <t xml:space="preserve">            ผู้อำนวยการกองคลัง</t>
  </si>
  <si>
    <t>(11)</t>
  </si>
  <si>
    <t>เงินอุดหนุนเฉพาะกิจค่าสวัสดิ์การ ผดด</t>
  </si>
  <si>
    <t>สวัสดิการ ผดด</t>
  </si>
  <si>
    <t>ท่อเมนประปา</t>
  </si>
  <si>
    <t>รับคืน - ลูกหนี้เงินยืมเงินสะสม</t>
  </si>
  <si>
    <t xml:space="preserve">รับเงินอุดหนุนเฉพาะกิจ </t>
  </si>
  <si>
    <t>รับเงินอุดหนุนเฉพาะกิจ</t>
  </si>
  <si>
    <t>เงินอุดหนุน ครุภัณฑ์คอมพิวเตอร์ ศพด.</t>
  </si>
  <si>
    <t>ครุภัณฑ์คอมพิวเตอร์ ศพด</t>
  </si>
  <si>
    <t>(12)</t>
  </si>
  <si>
    <t>เงินอุดหนุน วัสดุสื่อการเรียนการสอน ศพด.</t>
  </si>
  <si>
    <t>ค่าวัสดุการศึกษา ศพด</t>
  </si>
  <si>
    <t>จ่ายเงินทุนสำรองสะสม</t>
  </si>
  <si>
    <t>(13)</t>
  </si>
  <si>
    <t>(14)</t>
  </si>
  <si>
    <t>เงินอุดหนุเฉพาะกิจโครงการก่อสร้างอาคารศูนย์พัฒนาเด็กเล็ก</t>
  </si>
  <si>
    <t>เงินอุดหนุนเฉพาะกิจโครงการก่อสร้างสนามฟุตซอลพร้อมฐาน</t>
  </si>
  <si>
    <t>ลูกหนี้  ภาษีป้าย</t>
  </si>
  <si>
    <t>โครงการก่าสร้างอาคาร ศพด+สนามฟุตซอล</t>
  </si>
  <si>
    <t>ค่าใบอนุญาตอื่น ๆ</t>
  </si>
  <si>
    <t>งบลงทุน ค่าครุภัณฑ์ ที่ดินและสิ่งก่อสร้าง</t>
  </si>
  <si>
    <t xml:space="preserve"> ที่ดินและสิ่งก่อสร้าง</t>
  </si>
  <si>
    <t xml:space="preserve">      ตั้งแต่ต้นปีถึงปัจจุบัน</t>
  </si>
  <si>
    <t>งบกลาง (ก)</t>
  </si>
  <si>
    <t>ต.ค</t>
  </si>
  <si>
    <t>พ.ย</t>
  </si>
  <si>
    <t>จ่ายจริง</t>
  </si>
  <si>
    <t>ธ.ค</t>
  </si>
  <si>
    <t>เงินอุดหนุนเฉพาะกิจค่ารักษาพยาบาลพนักงาน(สปสช)</t>
  </si>
  <si>
    <t>เงินรับฝาก         - ประกันสังคม</t>
  </si>
  <si>
    <t xml:space="preserve">     ประกันสังคม</t>
  </si>
  <si>
    <t>ค่าใบอนุญาตเกี่ยวกับการควบคุมอาคาร/ก่อสร้างบ้าน</t>
  </si>
  <si>
    <t>110100</t>
  </si>
  <si>
    <t>เงินอุดหนุนเฉพาะกิจสื่อการเรียนการสอน (ศพด.)</t>
  </si>
  <si>
    <t>เบี้ยยังชีพผู้สูงอายุ</t>
  </si>
  <si>
    <t>เบี้ยยังชีพผู้พิการ</t>
  </si>
  <si>
    <t xml:space="preserve">โครงการค่าจัดซื้อชุดลูกข่ายไร้สายและอุปกรณ์พร้อมติดตั้ง จำนวน 5 ชุด                         </t>
  </si>
  <si>
    <t>ค่าธรรมเนียมการควบคุมอาคาร/ก่อสร้างบ้าน</t>
  </si>
  <si>
    <t>สื่อการเรียนการสอน</t>
  </si>
  <si>
    <t>เงินอุดหนุนเฉพาะกิจจัดการเรียนการสอน (ศพด.)</t>
  </si>
  <si>
    <t>จ่ายเงินอุดหนุนเฉพาะกิจ</t>
  </si>
  <si>
    <t>เงินรับฝาก-ประกันสังคม</t>
  </si>
  <si>
    <t xml:space="preserve">     ประกันสังคมงบกลาง (ก)</t>
  </si>
  <si>
    <t xml:space="preserve"> ค่าครุภัณฑ์</t>
  </si>
  <si>
    <t>เงินอุดหนุนเฉพาะกิจประกันสังคม ผดด</t>
  </si>
  <si>
    <t>ส่วนลด ภบท. 5%</t>
  </si>
  <si>
    <t>เงินรับฝาก  - ส่วนลดในการจัดเก็บ ภบท.5%</t>
  </si>
  <si>
    <t>อุดหนุนโครงการ สปสช.</t>
  </si>
  <si>
    <t>เงินอุดหนุนเฉพาะกิจ ค่ารักษาพยาบาล (ปีเก่า)</t>
  </si>
  <si>
    <t>เงินอุดหนุนเฉพาะกิจค่ารักษาพยาบาล (ผดด.) ปีเก่า</t>
  </si>
  <si>
    <t>เงินอุดหนุนเฉพาะโครงการ บ้านหนองขนาก ม 9</t>
  </si>
  <si>
    <t>เงินเดือน การเมือง</t>
  </si>
  <si>
    <t>เงินเดือน ประจำ</t>
  </si>
  <si>
    <t>เงินเดือน (ประจำ)</t>
  </si>
  <si>
    <t>รับฝาก  โครงการ สปสช</t>
  </si>
  <si>
    <t>เงินอุดหนุนเฉพาะโครงการ บ.ตลาดควาย- บ้านหนองขนาก ม 9</t>
  </si>
  <si>
    <t>เงินอุดหนุนเฉพาะโครงการ บ้านชุกหว้า-รางม่วง ม 6,8 ช 1</t>
  </si>
  <si>
    <t>เงินอุดหนุนเฉพาะโครงการ บ้านชุกหว้า-รางม่วง ม 6,8 ช 2</t>
  </si>
  <si>
    <t>อุดหนุนโครงการพัฒนาประเทศฯ</t>
  </si>
  <si>
    <t>ภาษีรถยนต์/ล้อเลือน</t>
  </si>
  <si>
    <t>รับคืน - ลูกหนี้เงินยืมเงินงบประมาณ</t>
  </si>
  <si>
    <t xml:space="preserve"> เงินสมทบกองทุนประกันสังคม</t>
  </si>
  <si>
    <t xml:space="preserve"> ค่าตอบแทนพนักงานจ้าง ผู้ดูแลเด็กเล็ก</t>
  </si>
  <si>
    <t xml:space="preserve">โครงการค่าก่อสร้างถนนคอนกรีตเสริมเหล็ก สายบ้านนายวีระ- ทำเนียบ หมู่ 2   </t>
  </si>
  <si>
    <t xml:space="preserve">โครงการค่าก่อสร้างถนนเสริมหินคลุก สายพุคา - ปากบึง หมู่  2  </t>
  </si>
  <si>
    <t>โครงการค่าก่อสร้างป้าย หม่บ้าน  หมู่ 4</t>
  </si>
  <si>
    <t xml:space="preserve">โครงการขยายเขตระบบท่อเมนประปา  หมู่  5  </t>
  </si>
  <si>
    <t>โครงการต่อเติมศาลาเอนกประสงค์บ้านหนองมะค่า  หมู่  7</t>
  </si>
  <si>
    <t>โครงการขุดเจาะบ่อบาลพร้อมขยายท่อเมนประปาหมู่บ้าน  หมู่  8</t>
  </si>
  <si>
    <t>โครงการขุดเจาะบ่อบาลพร้อมขยายท่อเมนประปาหมู่บ้าน  หมู่  9</t>
  </si>
  <si>
    <t>โครงการซ่อมแซมระบบกรองน้ำประปาหมู่บ้าน (ประปา 1)  หมู่ 10</t>
  </si>
  <si>
    <t xml:space="preserve">โครงการค่าก่อสร้างพร้อมติดตั้งหอถังแชมเปญ บ้านนายฉ่อง  หมู่ 13  </t>
  </si>
  <si>
    <t>โครงการปรับปรุงต่อเติมอาคารเอนกประสงค์ บ้านปากบึง   หมู่  13</t>
  </si>
  <si>
    <t>โครงการปรับปรุงต่อเติมอาคารศูนย์พัฒนาเด็กเล็กบ้านตลาดควาย   หมู่  5</t>
  </si>
  <si>
    <t xml:space="preserve"> โครงการขยายเขตไฟฟ้า (เข้าโรงสีข้าวชุมชน) หมู่ 6  </t>
  </si>
  <si>
    <t>โครงการขุดเจาะบ่อบาลฯจากทุ่งเขาหลวงมาตั้งบ้าน นางประหยัด ผาสุข  หมู่  11</t>
  </si>
  <si>
    <t>เงินฝากธนาคาร ธกส - ออมทรัพย์   (310000980967)</t>
  </si>
  <si>
    <t>เงินอุดหนุนเสริมนม</t>
  </si>
  <si>
    <t>เงินอุดหนุนอาหารกลางวัน</t>
  </si>
  <si>
    <t>เงินอุดหนุนส่งเสริมศักยภาพการจัดการศึกษา</t>
  </si>
  <si>
    <t>เงินอุดหนุนเอดส์</t>
  </si>
  <si>
    <t>เงินอุดหนุนสนับสนุนบริการสาธารณสุข</t>
  </si>
  <si>
    <t>การเรียนการสอน</t>
  </si>
  <si>
    <t>เงินอุดหนุนระบุ</t>
  </si>
  <si>
    <t>วัตถุประสงค์</t>
  </si>
  <si>
    <t>(บาท)</t>
  </si>
  <si>
    <t>เฉพาะกิจบาท</t>
  </si>
  <si>
    <t>เงินอุดหนุนเฉพาะกิจจัดการเรียนการสอน</t>
  </si>
  <si>
    <t xml:space="preserve">                             องค์การบริหารส่วนตำบลจอมบึง   อำเภอจอมบึง   จังหวัดราชบุรี</t>
  </si>
  <si>
    <t>หมายเหตุ  1</t>
  </si>
  <si>
    <t>หมายเหตุ 2</t>
  </si>
  <si>
    <r>
      <t>เงินรับฝาก</t>
    </r>
    <r>
      <rPr>
        <b/>
        <sz val="14"/>
        <rFont val="Angsana New"/>
        <family val="1"/>
      </rPr>
      <t xml:space="preserve">  (หมายเหตุ  3)</t>
    </r>
  </si>
  <si>
    <t>เงินรับฝาก  (หมายเหตุ 3)</t>
  </si>
  <si>
    <t>รายจ่ายค้างจ่าย  (หมายเหตุ 2)</t>
  </si>
  <si>
    <t xml:space="preserve">รวมรายจ่าย </t>
  </si>
  <si>
    <t xml:space="preserve">  เงินโอนเข้ายังมิได้บันทึกบัญชี</t>
  </si>
  <si>
    <t>ผลรวมต่อเดือน</t>
  </si>
  <si>
    <t>ผลรวมทั้งปี</t>
  </si>
  <si>
    <t>ลูกหนี้ - เงินทุนโครงการเศรษฐกิจชุมชน บัญชี 2</t>
  </si>
  <si>
    <t>113500</t>
  </si>
  <si>
    <t>190001</t>
  </si>
  <si>
    <t>รายจ่ายค้างจ่าย (หมายเหตุ 2)</t>
  </si>
  <si>
    <t>211000</t>
  </si>
  <si>
    <t>เงินรับฝาก  (หมายเหตุ 3 )</t>
  </si>
  <si>
    <t>215000</t>
  </si>
  <si>
    <t>310000</t>
  </si>
  <si>
    <t>งบกลาง (ท)</t>
  </si>
  <si>
    <t>เงินเดือน (ท)</t>
  </si>
  <si>
    <t>ค่าตอบแทน (ท)</t>
  </si>
  <si>
    <t>เงินฝากธนาคา ธกส.(ประจำ) เลขที่ 310000980967</t>
  </si>
  <si>
    <t>เงินรับฝาก  (หมายเหตุ  3)</t>
  </si>
  <si>
    <t xml:space="preserve"> - </t>
  </si>
  <si>
    <t>-</t>
  </si>
  <si>
    <t xml:space="preserve">  - ต่อ2</t>
  </si>
  <si>
    <t xml:space="preserve"> -จัดซื้อชุดลูกข่ายไร้สายและอุปกรณ์พร้อมติดตั้ง จำนวน 5 ชุด                         </t>
  </si>
  <si>
    <t xml:space="preserve"> -ก่อสร้างถนนคอนกรีตเสริมเหล็ก สายบ้านนายวีระ- ทำเนียบ หมู่ 2   </t>
  </si>
  <si>
    <t xml:space="preserve"> -ก่อสร้างถนนเสริมหินคลุก สายพุคา - ปากบึง หมู่  2  </t>
  </si>
  <si>
    <t xml:space="preserve"> -ค่าก่อสร้างป้าย หม่บ้าน  หมู่ 4</t>
  </si>
  <si>
    <t xml:space="preserve"> -ขยายเขตระบบท่อเมนประปา  หมู่  5  </t>
  </si>
  <si>
    <t xml:space="preserve"> -ต่อเติมศาลาเอนกประสงค์บ้านหนองมะค่า  หมู่  7</t>
  </si>
  <si>
    <t xml:space="preserve"> -ขุดเจาะบ่อบาลพร้อมขยายท่อเมนประปาหมู่บ้าน  หมู่  8</t>
  </si>
  <si>
    <t xml:space="preserve"> -ขุดเจาะบ่อบาลพร้อมขยายท่อเมนประปาหมู่บ้าน  หมู่  9</t>
  </si>
  <si>
    <t xml:space="preserve"> -ซ่อมแซมระบบกรองน้ำประปาหมู่บ้าน (ประปา 1)  หมู่ 10</t>
  </si>
  <si>
    <t xml:space="preserve"> -ขุดเจาะบ่อบาลฯจากทุ่งเขาหลวงมาตั้งบ้าน นางประหยัด ผาสุข  หมู่  11</t>
  </si>
  <si>
    <t xml:space="preserve"> -ค่าก่อสร้างพร้อมติดตั้งหอถังแชมเปญ บ้านนายฉ่อง  หมู่ 13  </t>
  </si>
  <si>
    <t xml:space="preserve"> -ปรับปรุงต่อเติมอาคารเอนกประสงค์ บ้านปากบึง   หมู่  13</t>
  </si>
  <si>
    <t xml:space="preserve"> -ปรับปรุงต่อเติมอาคารศูนย์พัฒนาเด็กเล็กบ้านตลาดควาย   หมู่  5</t>
  </si>
  <si>
    <t xml:space="preserve">  -ขยายเขตไฟฟ้า (เข้าโรงสีข้าวชุมชน) หมู่ 6  </t>
  </si>
  <si>
    <t xml:space="preserve"> -ค่าตอบแทนพนักงานจ้าง</t>
  </si>
  <si>
    <t xml:space="preserve"> -สมทบประกันสังคม</t>
  </si>
  <si>
    <t>ตั้งสิ้นปี 58</t>
  </si>
  <si>
    <t>เงินอุดหนุนทั่วไปฯ-เงินเดือน ผดด</t>
  </si>
  <si>
    <t>เงินอุดหนุนทั่วไปฯ-เบี้ยผู้สูงอายุ</t>
  </si>
  <si>
    <t>เงินอุดหนุนทั่วไปฯ-ผู้พิการ</t>
  </si>
  <si>
    <t>เงินอุดหนุนทั่วไปฯ-เงินเดือน ครู</t>
  </si>
  <si>
    <t>เงินอุดหนุนทั่วไปฯ-ประกันสังคม ผดด</t>
  </si>
  <si>
    <t>เงินอุดหนุนทั่วไปฯ-การจัดการเรียนการสอน ศพด</t>
  </si>
  <si>
    <t xml:space="preserve">งบกลาง (ท) </t>
  </si>
  <si>
    <t xml:space="preserve">   เงินเดือน  (ท) </t>
  </si>
  <si>
    <t xml:space="preserve">   ค่าวัสดุ  (ท) </t>
  </si>
  <si>
    <t>รับคืน เงินเดือน (ท)</t>
  </si>
  <si>
    <t>รายได้จากรัฐบาลค้างรับ</t>
  </si>
  <si>
    <t>รับคืน - งบกลาง ท</t>
  </si>
  <si>
    <t>เงินเดือน  ( ท )</t>
  </si>
  <si>
    <t>ค่าจ้างชั่วคราว (ท)</t>
  </si>
  <si>
    <t>ค่าวัสดุ (ท)</t>
  </si>
  <si>
    <t>สะสม</t>
  </si>
  <si>
    <t>ทุนสะสม</t>
  </si>
  <si>
    <t xml:space="preserve"> 25   กุมภาพันธ์  2559</t>
  </si>
  <si>
    <t>รับคืน - เงินทุนรับฝากเงินทุนโครงการเศรษฐกิจชุมชน</t>
  </si>
  <si>
    <t>ลูกหนี้ - เงินทุนโครงการเศรษฐกิจชุมชน</t>
  </si>
  <si>
    <t>เงินรับฝาก - เงินทุน ศชช.  บัญชีที่ 2</t>
  </si>
  <si>
    <t>ลูกหนี้ ศชช.  บัญชีที่ 2</t>
  </si>
  <si>
    <t>(ก)</t>
  </si>
  <si>
    <t>เงินอุดหนุนระบุวัตถุประสงค์ปรับปรุงถนนคอนกรีตฯม 6,8</t>
  </si>
  <si>
    <t>เงินอุดหนุนระบุวัตถุประสงค์ปรับปรุงถนนแอสฟัลท์ฯ ม6,8</t>
  </si>
  <si>
    <t>ที่ดินและสิ่งก่อสร้าง (ก) จ่ายขาดเงินสะสม</t>
  </si>
  <si>
    <t>ค่ารักษาพยาบาล (สปสช)</t>
  </si>
  <si>
    <t>ลูกหนี้ - เงินยืมสะสม</t>
  </si>
  <si>
    <t xml:space="preserve">เงินอุดหนุนเฉพาะกิจ - ม6,8 </t>
  </si>
  <si>
    <t>ค่าที่ดินและสิ่งก่อสร้าง (ก)</t>
  </si>
  <si>
    <t>ที่ดินและสิ่งก่อสร้าง (ก)</t>
  </si>
  <si>
    <t>เจ้าหนี้ - เงินยืมสะสม</t>
  </si>
  <si>
    <t>รับคืน งบกลาง (ท)</t>
  </si>
  <si>
    <t>ลูกหนี้เงินทุน ศชช</t>
  </si>
  <si>
    <t>รับคืน - เงินเดือน ผดด ท</t>
  </si>
  <si>
    <t>รับคืน -รายได้จากรัฐบาลค้างรับ</t>
  </si>
  <si>
    <t>รับคืน -รับฝากเงินทุน ศชช</t>
  </si>
  <si>
    <t>เจ้าหนี้ -เงินสะสม</t>
  </si>
  <si>
    <t>รับคืนเงินอุดหนุน</t>
  </si>
  <si>
    <t>เงินรับฝาก  - เงินค้ำประกันสัญญา</t>
  </si>
  <si>
    <t>ลูกหนี้เงินยืมงบประมาณ</t>
  </si>
  <si>
    <t xml:space="preserve"> 27    เมษายน  2559</t>
  </si>
  <si>
    <t>15720290</t>
  </si>
  <si>
    <t>15720291</t>
  </si>
  <si>
    <t xml:space="preserve"> 12   เมษายน  2559</t>
  </si>
  <si>
    <t xml:space="preserve"> 18   เมษายน  2559</t>
  </si>
  <si>
    <t>ณ  วันที่   31   พฤษภาคม   2559</t>
  </si>
  <si>
    <t>ปีงบประมาณ ประจำเดือน พฤษภาคม  2559</t>
  </si>
  <si>
    <t>ณ วันที่  31  พฤษภาคม   2559</t>
  </si>
  <si>
    <t>ณ  วันที่   31   พฤษภาคม  2559</t>
  </si>
  <si>
    <t>ณ   วันที่   31   พฤษภาคม   2559</t>
  </si>
  <si>
    <t>เลขที่  1/  พ.ค   /59</t>
  </si>
  <si>
    <t>31   พฤษภาคม   2559</t>
  </si>
  <si>
    <t xml:space="preserve"> เลขที่  2/  พ.ค  /59</t>
  </si>
  <si>
    <t>เลขที่  3/  พ.ค /59</t>
  </si>
  <si>
    <t>รับคืน - เงินยืมเงินงบประมาณ</t>
  </si>
  <si>
    <t>รับฝาก  ส่วนลด 6%</t>
  </si>
  <si>
    <t>รายได้ค่าปรับ</t>
  </si>
  <si>
    <t>เจ้าหนี้ - เงินยืมเงินสะสม</t>
  </si>
  <si>
    <t>เจ้าหนี้ - เงินยืมเงินนอกงบประมาณ</t>
  </si>
  <si>
    <t>ลูกหนี้ - เงินยืมเงินนอกงบประมาณ</t>
  </si>
  <si>
    <t>ลูกหนี้ - เงินยืมเงินงบประมาณ</t>
  </si>
  <si>
    <t>ลูกหนี้-เงินยืมเงินสะสม</t>
  </si>
  <si>
    <t xml:space="preserve"> 31   พฤษภาคม    2559</t>
  </si>
  <si>
    <t xml:space="preserve"> 19   พฤษภาคม  2559</t>
  </si>
  <si>
    <t>10032130</t>
  </si>
  <si>
    <t>10032131</t>
  </si>
  <si>
    <t>10032137</t>
  </si>
  <si>
    <t xml:space="preserve"> 30   พฤษภาคม  2559</t>
  </si>
  <si>
    <t>10032142</t>
  </si>
  <si>
    <t xml:space="preserve"> 31   พฤษภาคม  2559</t>
  </si>
  <si>
    <t xml:space="preserve"> 27   พฤษภาคม  2559</t>
  </si>
  <si>
    <t>รายรับสูงกว่ารายจ่าย</t>
  </si>
</sst>
</file>

<file path=xl/styles.xml><?xml version="1.0" encoding="utf-8"?>
<styleSheet xmlns="http://schemas.openxmlformats.org/spreadsheetml/2006/main">
  <numFmts count="7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 * #,##0.00_ ;_ * \-#,##0.00_ ;_ * &quot;-&quot;??_ ;_ @_ "/>
    <numFmt numFmtId="200" formatCode="&quot;IRฃ&quot;#,##0;\-&quot;IRฃ&quot;#,##0"/>
    <numFmt numFmtId="201" formatCode="&quot;IRฃ&quot;#,##0;[Red]\-&quot;IRฃ&quot;#,##0"/>
    <numFmt numFmtId="202" formatCode="&quot;IRฃ&quot;#,##0.00;\-&quot;IRฃ&quot;#,##0.00"/>
    <numFmt numFmtId="203" formatCode="&quot;IRฃ&quot;#,##0.00;[Red]\-&quot;IRฃ&quot;#,##0.00"/>
    <numFmt numFmtId="204" formatCode="_-&quot;IRฃ&quot;* #,##0_-;\-&quot;IRฃ&quot;* #,##0_-;_-&quot;IRฃ&quot;* &quot;-&quot;_-;_-@_-"/>
    <numFmt numFmtId="205" formatCode="_-&quot;IRฃ&quot;* #,##0.00_-;\-&quot;IRฃ&quot;* #,##0.00_-;_-&quot;IRฃ&quot;* &quot;-&quot;??_-;_-@_-"/>
    <numFmt numFmtId="206" formatCode="&quot;S/&quot;#,##0;&quot;S/&quot;\-#,##0"/>
    <numFmt numFmtId="207" formatCode="&quot;S/&quot;#,##0;[Red]&quot;S/&quot;\-#,##0"/>
    <numFmt numFmtId="208" formatCode="&quot;S/&quot;#,##0.00;&quot;S/&quot;\-#,##0.00"/>
    <numFmt numFmtId="209" formatCode="&quot;S/&quot;#,##0.00;[Red]&quot;S/&quot;\-#,##0.00"/>
    <numFmt numFmtId="210" formatCode="_ &quot;S/&quot;* #,##0_ ;_ &quot;S/&quot;* \-#,##0_ ;_ &quot;S/&quot;* &quot;-&quot;_ ;_ @_ "/>
    <numFmt numFmtId="211" formatCode="_ * #,##0_ ;_ * \-#,##0_ ;_ * &quot;-&quot;_ ;_ @_ "/>
    <numFmt numFmtId="212" formatCode="_ &quot;S/&quot;* #,##0.00_ ;_ &quot;S/&quot;* \-#,##0.00_ ;_ &quot;S/&quot;* &quot;-&quot;??_ ;_ @_ "/>
    <numFmt numFmtId="213" formatCode="_ * #,##0.000_ ;_ * \-#,##0.000_ ;_ * &quot;-&quot;??_ ;_ @_ "/>
    <numFmt numFmtId="214" formatCode="0.0%"/>
    <numFmt numFmtId="215" formatCode="d\ ดดด\ bb"/>
    <numFmt numFmtId="216" formatCode="_ * #,##0.0_ ;_ * \-#,##0.0_ ;_ * &quot;-&quot;??_ ;_ @_ "/>
    <numFmt numFmtId="217" formatCode="_ * #,##0_ ;_ * \-#,##0_ ;_ * &quot;-&quot;??_ ;_ @_ "/>
    <numFmt numFmtId="218" formatCode="#,##0.00_ ;\-#,##0.00\ "/>
    <numFmt numFmtId="219" formatCode="&quot;฿&quot;#,##0.00"/>
    <numFmt numFmtId="220" formatCode="_-* #,##0.0_-;\-* #,##0.0_-;_-* &quot;-&quot;??_-;_-@_-"/>
    <numFmt numFmtId="221" formatCode="_-* #,##0_-;\-* #,##0_-;_-* &quot;-&quot;??_-;_-@_-"/>
    <numFmt numFmtId="222" formatCode="_-* #,##0.000_-;\-* #,##0.000_-;_-* &quot;-&quot;??_-;_-@_-"/>
    <numFmt numFmtId="223" formatCode="_-* #,##0.0000_-;\-* #,##0.0000_-;_-* &quot;-&quot;??_-;_-@_-"/>
    <numFmt numFmtId="224" formatCode="_-* #,##0.00000_-;\-* #,##0.00000_-;_-* &quot;-&quot;??_-;_-@_-"/>
    <numFmt numFmtId="225" formatCode="_-* #,##0.000000_-;\-* #,##0.000000_-;_-* &quot;-&quot;??_-;_-@_-"/>
    <numFmt numFmtId="226" formatCode="0.000"/>
    <numFmt numFmtId="227" formatCode="0.0000"/>
    <numFmt numFmtId="228" formatCode="00000"/>
    <numFmt numFmtId="229" formatCode="d\ ดดดด\ bbbb"/>
    <numFmt numFmtId="230" formatCode="0.00;[Red]0.00"/>
    <numFmt numFmtId="231" formatCode="#,##0.0_);[Red]\(#,##0.0\)"/>
    <numFmt numFmtId="232" formatCode="0.0"/>
    <numFmt numFmtId="233" formatCode="#,##0.00_ ;[Red]\-#,##0.00\ "/>
    <numFmt numFmtId="234" formatCode="[$-41E]d\ mmmm\ yyyy"/>
    <numFmt numFmtId="235" formatCode="[$-409]dddd\,\ mmmm\ dd\,\ yyyy"/>
    <numFmt numFmtId="236" formatCode="[$-409]h:mm:ss\ AM/PM"/>
    <numFmt numFmtId="237" formatCode="[$-F400]h:mm:ss\ AM/PM"/>
    <numFmt numFmtId="238" formatCode="#,##0.0"/>
    <numFmt numFmtId="239" formatCode="#\ ?/2"/>
    <numFmt numFmtId="240" formatCode="&quot;ใช่&quot;;&quot;ใช่&quot;;&quot;ไม่ใช่&quot;"/>
    <numFmt numFmtId="241" formatCode="&quot;จริง&quot;;&quot;จริง&quot;;&quot;เท็จ&quot;"/>
    <numFmt numFmtId="242" formatCode="&quot;เปิด&quot;;&quot;เปิด&quot;;&quot;ปิด&quot;"/>
    <numFmt numFmtId="243" formatCode="[$€-2]\ #,##0.00_);[Red]\([$€-2]\ #,##0.00\)"/>
    <numFmt numFmtId="244" formatCode="[$-107041E]d\ mmmm\ yyyy;@"/>
  </numFmts>
  <fonts count="99">
    <font>
      <sz val="14"/>
      <name val="Cordia New"/>
      <family val="0"/>
    </font>
    <font>
      <sz val="16"/>
      <name val="AngsanaUPC"/>
      <family val="1"/>
    </font>
    <font>
      <sz val="18"/>
      <name val="AngsanaUPC"/>
      <family val="1"/>
    </font>
    <font>
      <sz val="14"/>
      <name val="AngsanaUPC"/>
      <family val="1"/>
    </font>
    <font>
      <b/>
      <sz val="14"/>
      <name val="AngsanaUPC"/>
      <family val="1"/>
    </font>
    <font>
      <sz val="17"/>
      <name val="AngsanaUPC"/>
      <family val="1"/>
    </font>
    <font>
      <sz val="14"/>
      <name val="Angsana New"/>
      <family val="1"/>
    </font>
    <font>
      <b/>
      <sz val="15"/>
      <name val="Angsana New"/>
      <family val="1"/>
    </font>
    <font>
      <b/>
      <sz val="14"/>
      <name val="Angsana New"/>
      <family val="1"/>
    </font>
    <font>
      <sz val="16"/>
      <name val="Angsana New"/>
      <family val="1"/>
    </font>
    <font>
      <b/>
      <sz val="16"/>
      <name val="Angsana New"/>
      <family val="1"/>
    </font>
    <font>
      <b/>
      <u val="single"/>
      <sz val="16"/>
      <name val="Angsana New"/>
      <family val="1"/>
    </font>
    <font>
      <sz val="15"/>
      <name val="Angsana New"/>
      <family val="1"/>
    </font>
    <font>
      <b/>
      <u val="single"/>
      <sz val="15"/>
      <name val="Angsana New"/>
      <family val="1"/>
    </font>
    <font>
      <b/>
      <sz val="14"/>
      <color indexed="10"/>
      <name val="Angsana New"/>
      <family val="1"/>
    </font>
    <font>
      <sz val="14"/>
      <color indexed="10"/>
      <name val="Angsana New"/>
      <family val="1"/>
    </font>
    <font>
      <sz val="17"/>
      <color indexed="10"/>
      <name val="AngsanaUPC"/>
      <family val="1"/>
    </font>
    <font>
      <sz val="16"/>
      <color indexed="10"/>
      <name val="AngsanaUPC"/>
      <family val="1"/>
    </font>
    <font>
      <sz val="18"/>
      <color indexed="10"/>
      <name val="AngsanaUPC"/>
      <family val="1"/>
    </font>
    <font>
      <sz val="15"/>
      <name val="AngsanaUPC"/>
      <family val="1"/>
    </font>
    <font>
      <u val="single"/>
      <sz val="15"/>
      <name val="AngsanaUPC"/>
      <family val="1"/>
    </font>
    <font>
      <b/>
      <sz val="17"/>
      <name val="Angsana New"/>
      <family val="1"/>
    </font>
    <font>
      <b/>
      <sz val="15"/>
      <name val="AngsanaUPC"/>
      <family val="1"/>
    </font>
    <font>
      <b/>
      <sz val="18"/>
      <name val="AngsanaUPC"/>
      <family val="1"/>
    </font>
    <font>
      <u val="single"/>
      <sz val="16"/>
      <name val="Angsana New"/>
      <family val="1"/>
    </font>
    <font>
      <sz val="12"/>
      <name val="AngsanaUPC"/>
      <family val="1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b/>
      <sz val="14"/>
      <color indexed="10"/>
      <name val="AngﳈanaUPC"/>
      <family val="1"/>
    </font>
    <font>
      <u val="single"/>
      <sz val="14"/>
      <name val="AngsanaUPC"/>
      <family val="1"/>
    </font>
    <font>
      <sz val="14"/>
      <color indexed="10"/>
      <name val="AngsanaUPC"/>
      <family val="1"/>
    </font>
    <font>
      <b/>
      <u val="single"/>
      <sz val="14"/>
      <name val="Angsana New"/>
      <family val="1"/>
    </font>
    <font>
      <b/>
      <sz val="15"/>
      <color indexed="10"/>
      <name val="AngﳈanaUPC"/>
      <family val="1"/>
    </font>
    <font>
      <b/>
      <sz val="12"/>
      <name val="AngsanaUPC"/>
      <family val="1"/>
    </font>
    <font>
      <sz val="12"/>
      <name val="CordiaUPC"/>
      <family val="2"/>
    </font>
    <font>
      <sz val="12"/>
      <color indexed="10"/>
      <name val="CordiaUPC"/>
      <family val="2"/>
    </font>
    <font>
      <sz val="15"/>
      <color indexed="10"/>
      <name val="AngsanaUPC"/>
      <family val="1"/>
    </font>
    <font>
      <sz val="14"/>
      <color indexed="8"/>
      <name val="AngsanaUPC"/>
      <family val="1"/>
    </font>
    <font>
      <sz val="11"/>
      <name val="AngsanaUPC"/>
      <family val="1"/>
    </font>
    <font>
      <sz val="14"/>
      <color indexed="18"/>
      <name val="AngsanaUPC"/>
      <family val="1"/>
    </font>
    <font>
      <sz val="14"/>
      <name val="CordiaUPC"/>
      <family val="2"/>
    </font>
    <font>
      <b/>
      <sz val="14"/>
      <color indexed="10"/>
      <name val="CordiaUPC"/>
      <family val="2"/>
    </font>
    <font>
      <b/>
      <sz val="14"/>
      <name val="CordiaUPC"/>
      <family val="2"/>
    </font>
    <font>
      <sz val="14"/>
      <color indexed="10"/>
      <name val="CordiaUPC"/>
      <family val="2"/>
    </font>
    <font>
      <sz val="12"/>
      <name val="Angsana New"/>
      <family val="1"/>
    </font>
    <font>
      <sz val="22"/>
      <name val="Cordia New"/>
      <family val="2"/>
    </font>
    <font>
      <sz val="11"/>
      <color indexed="10"/>
      <name val="AngsanaUPC"/>
      <family val="1"/>
    </font>
    <font>
      <sz val="12"/>
      <color indexed="9"/>
      <name val="AngsanaUPC"/>
      <family val="1"/>
    </font>
    <font>
      <b/>
      <sz val="18"/>
      <color indexed="10"/>
      <name val="AngsanaUPC"/>
      <family val="1"/>
    </font>
    <font>
      <sz val="12"/>
      <color indexed="8"/>
      <name val="AngsanaUPC"/>
      <family val="1"/>
    </font>
    <font>
      <sz val="14"/>
      <color indexed="12"/>
      <name val="Angsana New"/>
      <family val="1"/>
    </font>
    <font>
      <sz val="14"/>
      <color indexed="14"/>
      <name val="Angsana New"/>
      <family val="1"/>
    </font>
    <font>
      <sz val="13.5"/>
      <name val="Angsana New"/>
      <family val="1"/>
    </font>
    <font>
      <b/>
      <sz val="20"/>
      <name val="Angsana New"/>
      <family val="1"/>
    </font>
    <font>
      <sz val="16"/>
      <name val="Cordia New"/>
      <family val="2"/>
    </font>
    <font>
      <b/>
      <sz val="14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49"/>
      <name val="Angsana New"/>
      <family val="1"/>
    </font>
    <font>
      <sz val="14"/>
      <color indexed="49"/>
      <name val="AngsanaUPC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AngsanaUPC"/>
      <family val="1"/>
    </font>
    <font>
      <sz val="12"/>
      <color theme="1"/>
      <name val="AngsanaUPC"/>
      <family val="1"/>
    </font>
    <font>
      <sz val="14"/>
      <color rgb="FFFF0000"/>
      <name val="Angsana New"/>
      <family val="1"/>
    </font>
    <font>
      <b/>
      <sz val="14"/>
      <color rgb="FFFF0000"/>
      <name val="Angsana New"/>
      <family val="1"/>
    </font>
    <font>
      <sz val="16"/>
      <color theme="8"/>
      <name val="Angsana New"/>
      <family val="1"/>
    </font>
    <font>
      <sz val="14"/>
      <color rgb="FFFF0000"/>
      <name val="AngsanaUPC"/>
      <family val="1"/>
    </font>
    <font>
      <sz val="14"/>
      <color theme="8"/>
      <name val="AngsanaUPC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7" fillId="20" borderId="1" applyNumberFormat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81" fillId="21" borderId="2" applyNumberFormat="0" applyAlignment="0" applyProtection="0"/>
    <xf numFmtId="0" fontId="82" fillId="0" borderId="3" applyNumberFormat="0" applyFill="0" applyAlignment="0" applyProtection="0"/>
    <xf numFmtId="0" fontId="83" fillId="22" borderId="0" applyNumberFormat="0" applyBorder="0" applyAlignment="0" applyProtection="0"/>
    <xf numFmtId="0" fontId="84" fillId="23" borderId="1" applyNumberFormat="0" applyAlignment="0" applyProtection="0"/>
    <xf numFmtId="0" fontId="85" fillId="24" borderId="0" applyNumberFormat="0" applyBorder="0" applyAlignment="0" applyProtection="0"/>
    <xf numFmtId="9" fontId="0" fillId="0" borderId="0" applyFont="0" applyFill="0" applyBorder="0" applyAlignment="0" applyProtection="0"/>
    <xf numFmtId="0" fontId="86" fillId="0" borderId="4" applyNumberFormat="0" applyFill="0" applyAlignment="0" applyProtection="0"/>
    <xf numFmtId="0" fontId="87" fillId="25" borderId="0" applyNumberFormat="0" applyBorder="0" applyAlignment="0" applyProtection="0"/>
    <xf numFmtId="0" fontId="76" fillId="26" borderId="0" applyNumberFormat="0" applyBorder="0" applyAlignment="0" applyProtection="0"/>
    <xf numFmtId="0" fontId="76" fillId="27" borderId="0" applyNumberFormat="0" applyBorder="0" applyAlignment="0" applyProtection="0"/>
    <xf numFmtId="0" fontId="76" fillId="28" borderId="0" applyNumberFormat="0" applyBorder="0" applyAlignment="0" applyProtection="0"/>
    <xf numFmtId="0" fontId="76" fillId="29" borderId="0" applyNumberFormat="0" applyBorder="0" applyAlignment="0" applyProtection="0"/>
    <xf numFmtId="0" fontId="76" fillId="30" borderId="0" applyNumberFormat="0" applyBorder="0" applyAlignment="0" applyProtection="0"/>
    <xf numFmtId="0" fontId="76" fillId="31" borderId="0" applyNumberFormat="0" applyBorder="0" applyAlignment="0" applyProtection="0"/>
    <xf numFmtId="0" fontId="88" fillId="20" borderId="5" applyNumberFormat="0" applyAlignment="0" applyProtection="0"/>
    <xf numFmtId="0" fontId="0" fillId="32" borderId="6" applyNumberFormat="0" applyFont="0" applyAlignment="0" applyProtection="0"/>
    <xf numFmtId="0" fontId="89" fillId="0" borderId="7" applyNumberFormat="0" applyFill="0" applyAlignment="0" applyProtection="0"/>
    <xf numFmtId="0" fontId="90" fillId="0" borderId="8" applyNumberFormat="0" applyFill="0" applyAlignment="0" applyProtection="0"/>
    <xf numFmtId="0" fontId="91" fillId="0" borderId="9" applyNumberFormat="0" applyFill="0" applyAlignment="0" applyProtection="0"/>
    <xf numFmtId="0" fontId="91" fillId="0" borderId="0" applyNumberFormat="0" applyFill="0" applyBorder="0" applyAlignment="0" applyProtection="0"/>
  </cellStyleXfs>
  <cellXfs count="61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3" fontId="1" fillId="0" borderId="0" xfId="38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12" xfId="0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43" fontId="6" fillId="0" borderId="0" xfId="38" applyFont="1" applyAlignment="1">
      <alignment/>
    </xf>
    <xf numFmtId="0" fontId="6" fillId="0" borderId="15" xfId="0" applyFont="1" applyBorder="1" applyAlignment="1">
      <alignment/>
    </xf>
    <xf numFmtId="0" fontId="8" fillId="0" borderId="0" xfId="0" applyFont="1" applyAlignment="1">
      <alignment/>
    </xf>
    <xf numFmtId="0" fontId="6" fillId="0" borderId="12" xfId="0" applyFont="1" applyBorder="1" applyAlignment="1">
      <alignment/>
    </xf>
    <xf numFmtId="43" fontId="6" fillId="0" borderId="12" xfId="38" applyFont="1" applyBorder="1" applyAlignment="1">
      <alignment/>
    </xf>
    <xf numFmtId="0" fontId="6" fillId="0" borderId="16" xfId="0" applyFont="1" applyBorder="1" applyAlignment="1">
      <alignment/>
    </xf>
    <xf numFmtId="1" fontId="6" fillId="0" borderId="13" xfId="0" applyNumberFormat="1" applyFont="1" applyBorder="1" applyAlignment="1" quotePrefix="1">
      <alignment horizontal="center"/>
    </xf>
    <xf numFmtId="43" fontId="6" fillId="0" borderId="13" xfId="38" applyFont="1" applyBorder="1" applyAlignment="1">
      <alignment/>
    </xf>
    <xf numFmtId="49" fontId="6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13" xfId="0" applyFont="1" applyBorder="1" applyAlignment="1">
      <alignment/>
    </xf>
    <xf numFmtId="43" fontId="6" fillId="0" borderId="17" xfId="38" applyFont="1" applyBorder="1" applyAlignment="1">
      <alignment/>
    </xf>
    <xf numFmtId="0" fontId="8" fillId="0" borderId="0" xfId="0" applyFont="1" applyBorder="1" applyAlignment="1">
      <alignment/>
    </xf>
    <xf numFmtId="0" fontId="6" fillId="0" borderId="13" xfId="0" applyFont="1" applyBorder="1" applyAlignment="1" quotePrefix="1">
      <alignment horizontal="center"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/>
    </xf>
    <xf numFmtId="49" fontId="8" fillId="0" borderId="0" xfId="0" applyNumberFormat="1" applyFont="1" applyAlignment="1">
      <alignment/>
    </xf>
    <xf numFmtId="0" fontId="6" fillId="0" borderId="13" xfId="0" applyFont="1" applyBorder="1" applyAlignment="1">
      <alignment horizontal="center"/>
    </xf>
    <xf numFmtId="49" fontId="8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43" fontId="6" fillId="0" borderId="0" xfId="38" applyFont="1" applyBorder="1" applyAlignment="1">
      <alignment/>
    </xf>
    <xf numFmtId="221" fontId="6" fillId="0" borderId="0" xfId="38" applyNumberFormat="1" applyFont="1" applyBorder="1" applyAlignment="1">
      <alignment/>
    </xf>
    <xf numFmtId="0" fontId="8" fillId="0" borderId="18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17" xfId="0" applyFont="1" applyBorder="1" applyAlignment="1">
      <alignment horizontal="center" vertical="center"/>
    </xf>
    <xf numFmtId="43" fontId="8" fillId="0" borderId="17" xfId="38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15" fontId="9" fillId="0" borderId="0" xfId="0" applyNumberFormat="1" applyFont="1" applyBorder="1" applyAlignment="1">
      <alignment horizontal="right"/>
    </xf>
    <xf numFmtId="49" fontId="9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9" xfId="0" applyFont="1" applyBorder="1" applyAlignment="1">
      <alignment/>
    </xf>
    <xf numFmtId="0" fontId="9" fillId="0" borderId="19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21" xfId="0" applyFont="1" applyBorder="1" applyAlignment="1">
      <alignment/>
    </xf>
    <xf numFmtId="0" fontId="9" fillId="0" borderId="13" xfId="0" applyFont="1" applyBorder="1" applyAlignment="1" quotePrefix="1">
      <alignment horizontal="center"/>
    </xf>
    <xf numFmtId="0" fontId="9" fillId="0" borderId="13" xfId="0" applyFont="1" applyBorder="1" applyAlignment="1">
      <alignment/>
    </xf>
    <xf numFmtId="0" fontId="9" fillId="0" borderId="0" xfId="0" applyFont="1" applyBorder="1" applyAlignment="1">
      <alignment/>
    </xf>
    <xf numFmtId="43" fontId="9" fillId="0" borderId="22" xfId="38" applyFont="1" applyBorder="1" applyAlignment="1">
      <alignment/>
    </xf>
    <xf numFmtId="0" fontId="10" fillId="0" borderId="0" xfId="0" applyFont="1" applyBorder="1" applyAlignment="1">
      <alignment horizontal="right"/>
    </xf>
    <xf numFmtId="43" fontId="9" fillId="0" borderId="13" xfId="38" applyFont="1" applyBorder="1" applyAlignment="1">
      <alignment/>
    </xf>
    <xf numFmtId="0" fontId="9" fillId="33" borderId="0" xfId="0" applyFont="1" applyFill="1" applyBorder="1" applyAlignment="1">
      <alignment/>
    </xf>
    <xf numFmtId="43" fontId="9" fillId="0" borderId="0" xfId="38" applyFont="1" applyBorder="1" applyAlignment="1">
      <alignment/>
    </xf>
    <xf numFmtId="0" fontId="9" fillId="0" borderId="23" xfId="0" applyFont="1" applyBorder="1" applyAlignment="1">
      <alignment/>
    </xf>
    <xf numFmtId="0" fontId="11" fillId="0" borderId="24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15" fontId="9" fillId="0" borderId="0" xfId="0" applyNumberFormat="1" applyFont="1" applyBorder="1" applyAlignment="1">
      <alignment horizontal="left"/>
    </xf>
    <xf numFmtId="0" fontId="12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12" fillId="0" borderId="21" xfId="0" applyFont="1" applyBorder="1" applyAlignment="1">
      <alignment/>
    </xf>
    <xf numFmtId="0" fontId="12" fillId="0" borderId="0" xfId="0" applyFont="1" applyBorder="1" applyAlignment="1">
      <alignment/>
    </xf>
    <xf numFmtId="43" fontId="12" fillId="0" borderId="0" xfId="0" applyNumberFormat="1" applyFont="1" applyAlignment="1">
      <alignment/>
    </xf>
    <xf numFmtId="0" fontId="12" fillId="0" borderId="23" xfId="0" applyFont="1" applyBorder="1" applyAlignment="1">
      <alignment/>
    </xf>
    <xf numFmtId="0" fontId="12" fillId="0" borderId="25" xfId="0" applyFont="1" applyBorder="1" applyAlignment="1">
      <alignment/>
    </xf>
    <xf numFmtId="0" fontId="13" fillId="0" borderId="24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/>
    </xf>
    <xf numFmtId="43" fontId="15" fillId="0" borderId="0" xfId="38" applyFont="1" applyAlignment="1">
      <alignment/>
    </xf>
    <xf numFmtId="43" fontId="15" fillId="0" borderId="17" xfId="38" applyFont="1" applyBorder="1" applyAlignment="1">
      <alignment/>
    </xf>
    <xf numFmtId="0" fontId="15" fillId="0" borderId="0" xfId="0" applyFont="1" applyBorder="1" applyAlignment="1">
      <alignment/>
    </xf>
    <xf numFmtId="0" fontId="14" fillId="0" borderId="0" xfId="0" applyFont="1" applyAlignment="1">
      <alignment vertical="center"/>
    </xf>
    <xf numFmtId="218" fontId="15" fillId="0" borderId="27" xfId="38" applyNumberFormat="1" applyFont="1" applyBorder="1" applyAlignment="1">
      <alignment horizontal="center"/>
    </xf>
    <xf numFmtId="0" fontId="16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9" fillId="0" borderId="16" xfId="0" applyFont="1" applyBorder="1" applyAlignment="1">
      <alignment horizontal="center"/>
    </xf>
    <xf numFmtId="49" fontId="19" fillId="0" borderId="13" xfId="0" applyNumberFormat="1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19" fillId="0" borderId="0" xfId="0" applyFont="1" applyAlignment="1">
      <alignment/>
    </xf>
    <xf numFmtId="218" fontId="6" fillId="0" borderId="27" xfId="38" applyNumberFormat="1" applyFont="1" applyBorder="1" applyAlignment="1">
      <alignment horizontal="right"/>
    </xf>
    <xf numFmtId="43" fontId="6" fillId="0" borderId="27" xfId="38" applyFont="1" applyBorder="1" applyAlignment="1">
      <alignment horizontal="right"/>
    </xf>
    <xf numFmtId="0" fontId="19" fillId="0" borderId="0" xfId="0" applyFont="1" applyBorder="1" applyAlignment="1">
      <alignment/>
    </xf>
    <xf numFmtId="0" fontId="1" fillId="0" borderId="0" xfId="0" applyFont="1" applyAlignment="1">
      <alignment horizontal="left"/>
    </xf>
    <xf numFmtId="49" fontId="9" fillId="0" borderId="13" xfId="0" applyNumberFormat="1" applyFont="1" applyBorder="1" applyAlignment="1">
      <alignment horizontal="center"/>
    </xf>
    <xf numFmtId="43" fontId="10" fillId="0" borderId="24" xfId="0" applyNumberFormat="1" applyFont="1" applyBorder="1" applyAlignment="1">
      <alignment horizontal="left"/>
    </xf>
    <xf numFmtId="49" fontId="9" fillId="0" borderId="0" xfId="0" applyNumberFormat="1" applyFont="1" applyBorder="1" applyAlignment="1">
      <alignment horizontal="left"/>
    </xf>
    <xf numFmtId="194" fontId="6" fillId="0" borderId="0" xfId="0" applyNumberFormat="1" applyFont="1" applyAlignment="1">
      <alignment/>
    </xf>
    <xf numFmtId="43" fontId="6" fillId="0" borderId="0" xfId="0" applyNumberFormat="1" applyFont="1" applyAlignment="1">
      <alignment/>
    </xf>
    <xf numFmtId="49" fontId="4" fillId="0" borderId="25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8" xfId="0" applyNumberFormat="1" applyFont="1" applyBorder="1" applyAlignment="1">
      <alignment horizontal="center"/>
    </xf>
    <xf numFmtId="43" fontId="3" fillId="0" borderId="28" xfId="38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43" fontId="5" fillId="0" borderId="0" xfId="38" applyFont="1" applyAlignment="1">
      <alignment/>
    </xf>
    <xf numFmtId="43" fontId="19" fillId="0" borderId="0" xfId="38" applyFont="1" applyAlignment="1">
      <alignment/>
    </xf>
    <xf numFmtId="43" fontId="2" fillId="0" borderId="0" xfId="38" applyFont="1" applyAlignment="1">
      <alignment/>
    </xf>
    <xf numFmtId="0" fontId="19" fillId="0" borderId="0" xfId="0" applyFont="1" applyBorder="1" applyAlignment="1">
      <alignment horizontal="center"/>
    </xf>
    <xf numFmtId="0" fontId="22" fillId="0" borderId="0" xfId="0" applyFont="1" applyAlignment="1">
      <alignment/>
    </xf>
    <xf numFmtId="43" fontId="19" fillId="0" borderId="0" xfId="38" applyFont="1" applyBorder="1" applyAlignment="1">
      <alignment/>
    </xf>
    <xf numFmtId="0" fontId="19" fillId="0" borderId="23" xfId="0" applyFont="1" applyBorder="1" applyAlignment="1">
      <alignment horizontal="center"/>
    </xf>
    <xf numFmtId="0" fontId="19" fillId="0" borderId="26" xfId="0" applyFont="1" applyBorder="1" applyAlignment="1">
      <alignment horizontal="center"/>
    </xf>
    <xf numFmtId="49" fontId="19" fillId="0" borderId="0" xfId="0" applyNumberFormat="1" applyFont="1" applyBorder="1" applyAlignment="1">
      <alignment horizontal="left"/>
    </xf>
    <xf numFmtId="0" fontId="19" fillId="0" borderId="15" xfId="0" applyFont="1" applyBorder="1" applyAlignment="1">
      <alignment/>
    </xf>
    <xf numFmtId="0" fontId="19" fillId="0" borderId="16" xfId="0" applyFont="1" applyBorder="1" applyAlignment="1">
      <alignment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28" xfId="0" applyFont="1" applyBorder="1" applyAlignment="1">
      <alignment/>
    </xf>
    <xf numFmtId="49" fontId="19" fillId="0" borderId="0" xfId="0" applyNumberFormat="1" applyFont="1" applyAlignment="1">
      <alignment/>
    </xf>
    <xf numFmtId="0" fontId="19" fillId="0" borderId="23" xfId="0" applyFont="1" applyBorder="1" applyAlignment="1">
      <alignment/>
    </xf>
    <xf numFmtId="0" fontId="19" fillId="0" borderId="26" xfId="0" applyFont="1" applyBorder="1" applyAlignment="1">
      <alignment/>
    </xf>
    <xf numFmtId="43" fontId="19" fillId="0" borderId="29" xfId="38" applyFont="1" applyBorder="1" applyAlignment="1">
      <alignment/>
    </xf>
    <xf numFmtId="0" fontId="19" fillId="0" borderId="28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16" xfId="0" applyFont="1" applyBorder="1" applyAlignment="1">
      <alignment/>
    </xf>
    <xf numFmtId="0" fontId="2" fillId="0" borderId="23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49" fontId="19" fillId="0" borderId="23" xfId="0" applyNumberFormat="1" applyFont="1" applyBorder="1" applyAlignment="1">
      <alignment/>
    </xf>
    <xf numFmtId="43" fontId="19" fillId="0" borderId="23" xfId="0" applyNumberFormat="1" applyFont="1" applyBorder="1" applyAlignment="1">
      <alignment/>
    </xf>
    <xf numFmtId="0" fontId="23" fillId="0" borderId="0" xfId="0" applyFont="1" applyBorder="1" applyAlignment="1">
      <alignment/>
    </xf>
    <xf numFmtId="0" fontId="9" fillId="0" borderId="0" xfId="0" applyFont="1" applyBorder="1" applyAlignment="1">
      <alignment horizontal="right"/>
    </xf>
    <xf numFmtId="0" fontId="9" fillId="0" borderId="18" xfId="0" applyFont="1" applyBorder="1" applyAlignment="1">
      <alignment horizontal="center"/>
    </xf>
    <xf numFmtId="0" fontId="9" fillId="0" borderId="16" xfId="0" applyFont="1" applyBorder="1" applyAlignment="1">
      <alignment/>
    </xf>
    <xf numFmtId="43" fontId="9" fillId="0" borderId="16" xfId="0" applyNumberFormat="1" applyFont="1" applyBorder="1" applyAlignment="1">
      <alignment/>
    </xf>
    <xf numFmtId="43" fontId="9" fillId="0" borderId="16" xfId="38" applyFont="1" applyBorder="1" applyAlignment="1">
      <alignment/>
    </xf>
    <xf numFmtId="49" fontId="9" fillId="0" borderId="0" xfId="0" applyNumberFormat="1" applyFont="1" applyBorder="1" applyAlignment="1">
      <alignment/>
    </xf>
    <xf numFmtId="43" fontId="12" fillId="0" borderId="0" xfId="38" applyFont="1" applyBorder="1" applyAlignment="1">
      <alignment/>
    </xf>
    <xf numFmtId="43" fontId="12" fillId="0" borderId="16" xfId="38" applyFont="1" applyBorder="1" applyAlignment="1">
      <alignment/>
    </xf>
    <xf numFmtId="43" fontId="12" fillId="0" borderId="18" xfId="0" applyNumberFormat="1" applyFont="1" applyBorder="1" applyAlignment="1">
      <alignment/>
    </xf>
    <xf numFmtId="49" fontId="12" fillId="0" borderId="13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2" fillId="0" borderId="24" xfId="0" applyFont="1" applyBorder="1" applyAlignment="1">
      <alignment horizontal="center"/>
    </xf>
    <xf numFmtId="0" fontId="9" fillId="0" borderId="24" xfId="0" applyFont="1" applyBorder="1" applyAlignment="1">
      <alignment horizontal="left"/>
    </xf>
    <xf numFmtId="218" fontId="12" fillId="0" borderId="24" xfId="38" applyNumberFormat="1" applyFont="1" applyBorder="1" applyAlignment="1">
      <alignment/>
    </xf>
    <xf numFmtId="0" fontId="12" fillId="0" borderId="15" xfId="0" applyFont="1" applyBorder="1" applyAlignment="1">
      <alignment/>
    </xf>
    <xf numFmtId="0" fontId="19" fillId="0" borderId="0" xfId="0" applyFont="1" applyBorder="1" applyAlignment="1">
      <alignment horizontal="left"/>
    </xf>
    <xf numFmtId="0" fontId="19" fillId="0" borderId="13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43" fontId="12" fillId="0" borderId="21" xfId="0" applyNumberFormat="1" applyFont="1" applyBorder="1" applyAlignment="1">
      <alignment/>
    </xf>
    <xf numFmtId="43" fontId="12" fillId="0" borderId="17" xfId="0" applyNumberFormat="1" applyFont="1" applyBorder="1" applyAlignment="1">
      <alignment vertical="center"/>
    </xf>
    <xf numFmtId="194" fontId="12" fillId="0" borderId="0" xfId="0" applyNumberFormat="1" applyFont="1" applyAlignment="1">
      <alignment/>
    </xf>
    <xf numFmtId="43" fontId="9" fillId="33" borderId="0" xfId="0" applyNumberFormat="1" applyFont="1" applyFill="1" applyBorder="1" applyAlignment="1">
      <alignment/>
    </xf>
    <xf numFmtId="43" fontId="4" fillId="0" borderId="30" xfId="38" applyFont="1" applyBorder="1" applyAlignment="1">
      <alignment/>
    </xf>
    <xf numFmtId="0" fontId="4" fillId="0" borderId="30" xfId="0" applyFont="1" applyBorder="1" applyAlignment="1">
      <alignment horizontal="left" indent="1"/>
    </xf>
    <xf numFmtId="0" fontId="4" fillId="0" borderId="31" xfId="0" applyFont="1" applyBorder="1" applyAlignment="1">
      <alignment horizontal="left" indent="1"/>
    </xf>
    <xf numFmtId="49" fontId="4" fillId="0" borderId="11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43" fontId="28" fillId="0" borderId="30" xfId="38" applyFont="1" applyBorder="1" applyAlignment="1">
      <alignment/>
    </xf>
    <xf numFmtId="43" fontId="3" fillId="0" borderId="0" xfId="38" applyFont="1" applyAlignment="1">
      <alignment/>
    </xf>
    <xf numFmtId="43" fontId="4" fillId="0" borderId="0" xfId="38" applyFont="1" applyAlignment="1">
      <alignment/>
    </xf>
    <xf numFmtId="0" fontId="4" fillId="0" borderId="0" xfId="0" applyFont="1" applyAlignment="1">
      <alignment/>
    </xf>
    <xf numFmtId="43" fontId="3" fillId="0" borderId="16" xfId="38" applyFont="1" applyBorder="1" applyAlignment="1">
      <alignment/>
    </xf>
    <xf numFmtId="0" fontId="3" fillId="0" borderId="16" xfId="0" applyFont="1" applyBorder="1" applyAlignment="1">
      <alignment/>
    </xf>
    <xf numFmtId="0" fontId="29" fillId="0" borderId="16" xfId="0" applyFont="1" applyBorder="1" applyAlignment="1">
      <alignment horizontal="left" indent="1"/>
    </xf>
    <xf numFmtId="0" fontId="29" fillId="0" borderId="21" xfId="0" applyFont="1" applyBorder="1" applyAlignment="1">
      <alignment horizontal="left" indent="1"/>
    </xf>
    <xf numFmtId="43" fontId="3" fillId="0" borderId="13" xfId="38" applyFont="1" applyBorder="1" applyAlignment="1">
      <alignment/>
    </xf>
    <xf numFmtId="0" fontId="3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3" fillId="0" borderId="16" xfId="0" applyFont="1" applyBorder="1" applyAlignment="1">
      <alignment horizontal="left" indent="1"/>
    </xf>
    <xf numFmtId="0" fontId="3" fillId="0" borderId="21" xfId="0" applyFont="1" applyBorder="1" applyAlignment="1">
      <alignment horizontal="left" indent="1"/>
    </xf>
    <xf numFmtId="43" fontId="30" fillId="0" borderId="0" xfId="38" applyFont="1" applyBorder="1" applyAlignment="1">
      <alignment/>
    </xf>
    <xf numFmtId="43" fontId="3" fillId="0" borderId="27" xfId="0" applyNumberFormat="1" applyFont="1" applyBorder="1" applyAlignment="1">
      <alignment/>
    </xf>
    <xf numFmtId="43" fontId="3" fillId="0" borderId="0" xfId="0" applyNumberFormat="1" applyFont="1" applyBorder="1" applyAlignment="1">
      <alignment/>
    </xf>
    <xf numFmtId="43" fontId="3" fillId="0" borderId="16" xfId="0" applyNumberFormat="1" applyFont="1" applyBorder="1" applyAlignment="1">
      <alignment/>
    </xf>
    <xf numFmtId="0" fontId="3" fillId="0" borderId="0" xfId="0" applyFont="1" applyBorder="1" applyAlignment="1">
      <alignment horizontal="left" indent="1"/>
    </xf>
    <xf numFmtId="43" fontId="4" fillId="0" borderId="16" xfId="0" applyNumberFormat="1" applyFont="1" applyBorder="1" applyAlignment="1">
      <alignment/>
    </xf>
    <xf numFmtId="0" fontId="3" fillId="0" borderId="30" xfId="0" applyFont="1" applyBorder="1" applyAlignment="1">
      <alignment/>
    </xf>
    <xf numFmtId="0" fontId="29" fillId="0" borderId="30" xfId="0" applyFont="1" applyBorder="1" applyAlignment="1">
      <alignment/>
    </xf>
    <xf numFmtId="0" fontId="3" fillId="0" borderId="31" xfId="0" applyFont="1" applyBorder="1" applyAlignment="1">
      <alignment/>
    </xf>
    <xf numFmtId="49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49" fontId="3" fillId="0" borderId="16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 indent="1"/>
    </xf>
    <xf numFmtId="0" fontId="3" fillId="0" borderId="16" xfId="0" applyFont="1" applyBorder="1" applyAlignment="1">
      <alignment/>
    </xf>
    <xf numFmtId="43" fontId="3" fillId="0" borderId="0" xfId="0" applyNumberFormat="1" applyFont="1" applyAlignment="1">
      <alignment/>
    </xf>
    <xf numFmtId="43" fontId="3" fillId="0" borderId="17" xfId="38" applyFont="1" applyBorder="1" applyAlignment="1">
      <alignment/>
    </xf>
    <xf numFmtId="43" fontId="30" fillId="0" borderId="17" xfId="38" applyFont="1" applyBorder="1" applyAlignment="1">
      <alignment/>
    </xf>
    <xf numFmtId="43" fontId="30" fillId="0" borderId="17" xfId="0" applyNumberFormat="1" applyFont="1" applyBorder="1" applyAlignment="1">
      <alignment/>
    </xf>
    <xf numFmtId="0" fontId="3" fillId="0" borderId="21" xfId="0" applyFont="1" applyBorder="1" applyAlignment="1">
      <alignment/>
    </xf>
    <xf numFmtId="43" fontId="30" fillId="0" borderId="0" xfId="38" applyFont="1" applyAlignment="1">
      <alignment/>
    </xf>
    <xf numFmtId="0" fontId="3" fillId="0" borderId="13" xfId="0" applyFont="1" applyBorder="1" applyAlignment="1">
      <alignment/>
    </xf>
    <xf numFmtId="43" fontId="4" fillId="0" borderId="18" xfId="0" applyNumberFormat="1" applyFont="1" applyBorder="1" applyAlignment="1">
      <alignment horizontal="center" vertical="center"/>
    </xf>
    <xf numFmtId="43" fontId="4" fillId="0" borderId="17" xfId="0" applyNumberFormat="1" applyFont="1" applyBorder="1" applyAlignment="1">
      <alignment horizontal="center" vertical="center"/>
    </xf>
    <xf numFmtId="0" fontId="30" fillId="0" borderId="0" xfId="0" applyFont="1" applyAlignment="1">
      <alignment/>
    </xf>
    <xf numFmtId="43" fontId="4" fillId="0" borderId="0" xfId="38" applyFont="1" applyAlignment="1">
      <alignment horizontal="center"/>
    </xf>
    <xf numFmtId="0" fontId="28" fillId="0" borderId="0" xfId="0" applyFont="1" applyAlignment="1">
      <alignment horizontal="center"/>
    </xf>
    <xf numFmtId="43" fontId="3" fillId="0" borderId="32" xfId="38" applyFont="1" applyBorder="1" applyAlignment="1">
      <alignment/>
    </xf>
    <xf numFmtId="43" fontId="30" fillId="0" borderId="0" xfId="0" applyNumberFormat="1" applyFont="1" applyAlignment="1">
      <alignment/>
    </xf>
    <xf numFmtId="0" fontId="30" fillId="0" borderId="0" xfId="0" applyFont="1" applyAlignment="1">
      <alignment horizontal="left"/>
    </xf>
    <xf numFmtId="43" fontId="3" fillId="0" borderId="0" xfId="38" applyFont="1" applyBorder="1" applyAlignment="1">
      <alignment/>
    </xf>
    <xf numFmtId="0" fontId="6" fillId="0" borderId="0" xfId="0" applyFont="1" applyAlignment="1">
      <alignment horizontal="center"/>
    </xf>
    <xf numFmtId="43" fontId="30" fillId="0" borderId="0" xfId="0" applyNumberFormat="1" applyFont="1" applyBorder="1" applyAlignment="1">
      <alignment/>
    </xf>
    <xf numFmtId="0" fontId="31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43" fontId="6" fillId="0" borderId="0" xfId="38" applyFont="1" applyAlignment="1">
      <alignment horizontal="left" indent="1"/>
    </xf>
    <xf numFmtId="43" fontId="6" fillId="0" borderId="0" xfId="38" applyFont="1" applyAlignment="1">
      <alignment horizontal="center"/>
    </xf>
    <xf numFmtId="43" fontId="8" fillId="0" borderId="0" xfId="38" applyFont="1" applyBorder="1" applyAlignment="1">
      <alignment horizontal="center"/>
    </xf>
    <xf numFmtId="43" fontId="8" fillId="0" borderId="0" xfId="38" applyFont="1" applyAlignment="1">
      <alignment/>
    </xf>
    <xf numFmtId="43" fontId="6" fillId="0" borderId="32" xfId="38" applyFont="1" applyBorder="1" applyAlignment="1">
      <alignment/>
    </xf>
    <xf numFmtId="43" fontId="9" fillId="0" borderId="0" xfId="38" applyFont="1" applyBorder="1" applyAlignment="1">
      <alignment horizontal="center"/>
    </xf>
    <xf numFmtId="0" fontId="32" fillId="0" borderId="0" xfId="0" applyFont="1" applyAlignment="1">
      <alignment/>
    </xf>
    <xf numFmtId="43" fontId="3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49" fontId="33" fillId="0" borderId="33" xfId="0" applyNumberFormat="1" applyFont="1" applyBorder="1" applyAlignment="1">
      <alignment horizontal="center"/>
    </xf>
    <xf numFmtId="49" fontId="33" fillId="0" borderId="34" xfId="0" applyNumberFormat="1" applyFont="1" applyBorder="1" applyAlignment="1">
      <alignment horizontal="center"/>
    </xf>
    <xf numFmtId="43" fontId="33" fillId="0" borderId="35" xfId="38" applyFont="1" applyBorder="1" applyAlignment="1">
      <alignment horizontal="center"/>
    </xf>
    <xf numFmtId="43" fontId="33" fillId="0" borderId="34" xfId="38" applyFont="1" applyBorder="1" applyAlignment="1">
      <alignment horizontal="center"/>
    </xf>
    <xf numFmtId="49" fontId="25" fillId="0" borderId="0" xfId="0" applyNumberFormat="1" applyFont="1" applyBorder="1" applyAlignment="1">
      <alignment horizontal="left" indent="2"/>
    </xf>
    <xf numFmtId="49" fontId="25" fillId="0" borderId="16" xfId="0" applyNumberFormat="1" applyFont="1" applyBorder="1" applyAlignment="1">
      <alignment horizontal="center"/>
    </xf>
    <xf numFmtId="43" fontId="25" fillId="0" borderId="0" xfId="38" applyFont="1" applyBorder="1" applyAlignment="1">
      <alignment/>
    </xf>
    <xf numFmtId="43" fontId="25" fillId="0" borderId="0" xfId="38" applyFont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49" fontId="25" fillId="0" borderId="21" xfId="0" applyNumberFormat="1" applyFont="1" applyBorder="1" applyAlignment="1">
      <alignment horizontal="left" indent="2"/>
    </xf>
    <xf numFmtId="49" fontId="25" fillId="0" borderId="13" xfId="0" applyNumberFormat="1" applyFont="1" applyBorder="1" applyAlignment="1">
      <alignment horizontal="center"/>
    </xf>
    <xf numFmtId="49" fontId="33" fillId="0" borderId="0" xfId="0" applyNumberFormat="1" applyFont="1" applyBorder="1" applyAlignment="1">
      <alignment horizontal="center" vertical="center"/>
    </xf>
    <xf numFmtId="49" fontId="25" fillId="0" borderId="0" xfId="0" applyNumberFormat="1" applyFont="1" applyAlignment="1">
      <alignment horizontal="center"/>
    </xf>
    <xf numFmtId="49" fontId="25" fillId="0" borderId="0" xfId="0" applyNumberFormat="1" applyFont="1" applyAlignment="1">
      <alignment horizontal="left" indent="4"/>
    </xf>
    <xf numFmtId="49" fontId="25" fillId="0" borderId="0" xfId="0" applyNumberFormat="1" applyFont="1" applyBorder="1" applyAlignment="1">
      <alignment horizontal="left" indent="4"/>
    </xf>
    <xf numFmtId="43" fontId="36" fillId="0" borderId="0" xfId="38" applyFont="1" applyBorder="1" applyAlignment="1">
      <alignment/>
    </xf>
    <xf numFmtId="194" fontId="36" fillId="0" borderId="0" xfId="0" applyNumberFormat="1" applyFont="1" applyBorder="1" applyAlignment="1">
      <alignment/>
    </xf>
    <xf numFmtId="0" fontId="3" fillId="0" borderId="0" xfId="0" applyFont="1" applyAlignment="1">
      <alignment horizontal="left"/>
    </xf>
    <xf numFmtId="43" fontId="3" fillId="0" borderId="0" xfId="38" applyFont="1" applyAlignment="1">
      <alignment horizontal="center"/>
    </xf>
    <xf numFmtId="49" fontId="8" fillId="0" borderId="0" xfId="0" applyNumberFormat="1" applyFont="1" applyAlignment="1">
      <alignment horizontal="center"/>
    </xf>
    <xf numFmtId="43" fontId="8" fillId="0" borderId="0" xfId="38" applyFont="1" applyAlignment="1">
      <alignment horizontal="center"/>
    </xf>
    <xf numFmtId="0" fontId="16" fillId="0" borderId="0" xfId="0" applyFont="1" applyBorder="1" applyAlignment="1">
      <alignment horizontal="center"/>
    </xf>
    <xf numFmtId="43" fontId="6" fillId="0" borderId="0" xfId="38" applyFont="1" applyAlignment="1">
      <alignment horizontal="center" vertical="center"/>
    </xf>
    <xf numFmtId="43" fontId="15" fillId="0" borderId="0" xfId="38" applyFont="1" applyAlignment="1">
      <alignment horizontal="center" vertical="center"/>
    </xf>
    <xf numFmtId="0" fontId="22" fillId="0" borderId="0" xfId="0" applyFont="1" applyAlignment="1">
      <alignment horizontal="center"/>
    </xf>
    <xf numFmtId="43" fontId="30" fillId="0" borderId="36" xfId="0" applyNumberFormat="1" applyFont="1" applyBorder="1" applyAlignment="1">
      <alignment/>
    </xf>
    <xf numFmtId="43" fontId="4" fillId="0" borderId="20" xfId="0" applyNumberFormat="1" applyFont="1" applyBorder="1" applyAlignment="1">
      <alignment horizontal="center" vertical="center"/>
    </xf>
    <xf numFmtId="0" fontId="3" fillId="0" borderId="37" xfId="0" applyFont="1" applyBorder="1" applyAlignment="1">
      <alignment horizontal="center"/>
    </xf>
    <xf numFmtId="49" fontId="19" fillId="0" borderId="0" xfId="0" applyNumberFormat="1" applyFont="1" applyAlignment="1">
      <alignment horizontal="center"/>
    </xf>
    <xf numFmtId="43" fontId="34" fillId="0" borderId="0" xfId="38" applyFont="1" applyAlignment="1">
      <alignment/>
    </xf>
    <xf numFmtId="194" fontId="34" fillId="0" borderId="0" xfId="0" applyNumberFormat="1" applyFont="1" applyAlignment="1">
      <alignment/>
    </xf>
    <xf numFmtId="43" fontId="39" fillId="0" borderId="0" xfId="38" applyFont="1" applyBorder="1" applyAlignment="1">
      <alignment/>
    </xf>
    <xf numFmtId="0" fontId="36" fillId="0" borderId="0" xfId="0" applyFont="1" applyBorder="1" applyAlignment="1">
      <alignment/>
    </xf>
    <xf numFmtId="0" fontId="19" fillId="0" borderId="12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49" fontId="19" fillId="0" borderId="14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" vertical="center"/>
    </xf>
    <xf numFmtId="43" fontId="4" fillId="0" borderId="0" xfId="38" applyFont="1" applyBorder="1" applyAlignment="1">
      <alignment horizontal="center" vertical="center"/>
    </xf>
    <xf numFmtId="43" fontId="40" fillId="0" borderId="0" xfId="0" applyNumberFormat="1" applyFont="1" applyAlignment="1">
      <alignment/>
    </xf>
    <xf numFmtId="0" fontId="41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0" fillId="0" borderId="0" xfId="0" applyFont="1" applyAlignment="1">
      <alignment horizontal="center"/>
    </xf>
    <xf numFmtId="43" fontId="40" fillId="0" borderId="0" xfId="0" applyNumberFormat="1" applyFont="1" applyAlignment="1">
      <alignment/>
    </xf>
    <xf numFmtId="0" fontId="43" fillId="0" borderId="0" xfId="0" applyFont="1" applyAlignment="1">
      <alignment horizontal="center"/>
    </xf>
    <xf numFmtId="43" fontId="40" fillId="0" borderId="0" xfId="38" applyFont="1" applyAlignment="1">
      <alignment horizontal="center"/>
    </xf>
    <xf numFmtId="43" fontId="42" fillId="0" borderId="0" xfId="38" applyFont="1" applyAlignment="1">
      <alignment horizontal="center" vertical="center"/>
    </xf>
    <xf numFmtId="43" fontId="40" fillId="0" borderId="0" xfId="38" applyFont="1" applyAlignment="1">
      <alignment/>
    </xf>
    <xf numFmtId="43" fontId="42" fillId="0" borderId="0" xfId="0" applyNumberFormat="1" applyFont="1" applyAlignment="1">
      <alignment horizontal="center" vertical="center"/>
    </xf>
    <xf numFmtId="43" fontId="10" fillId="0" borderId="0" xfId="38" applyFont="1" applyAlignment="1">
      <alignment horizontal="left"/>
    </xf>
    <xf numFmtId="43" fontId="10" fillId="0" borderId="0" xfId="38" applyFont="1" applyAlignment="1">
      <alignment horizontal="left"/>
    </xf>
    <xf numFmtId="0" fontId="6" fillId="0" borderId="32" xfId="0" applyFont="1" applyBorder="1" applyAlignment="1">
      <alignment/>
    </xf>
    <xf numFmtId="43" fontId="9" fillId="0" borderId="0" xfId="38" applyFont="1" applyAlignment="1">
      <alignment horizontal="left"/>
    </xf>
    <xf numFmtId="0" fontId="6" fillId="0" borderId="0" xfId="0" applyFont="1" applyAlignment="1">
      <alignment horizontal="center"/>
    </xf>
    <xf numFmtId="43" fontId="6" fillId="0" borderId="0" xfId="38" applyFont="1" applyBorder="1" applyAlignment="1">
      <alignment horizontal="center"/>
    </xf>
    <xf numFmtId="43" fontId="6" fillId="0" borderId="0" xfId="38" applyFont="1" applyAlignment="1">
      <alignment/>
    </xf>
    <xf numFmtId="43" fontId="6" fillId="0" borderId="0" xfId="38" applyFont="1" applyAlignment="1">
      <alignment horizontal="center"/>
    </xf>
    <xf numFmtId="49" fontId="3" fillId="0" borderId="37" xfId="0" applyNumberFormat="1" applyFont="1" applyBorder="1" applyAlignment="1">
      <alignment horizontal="center"/>
    </xf>
    <xf numFmtId="0" fontId="12" fillId="0" borderId="21" xfId="0" applyFont="1" applyBorder="1" applyAlignment="1">
      <alignment horizontal="left"/>
    </xf>
    <xf numFmtId="0" fontId="21" fillId="0" borderId="0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44" fillId="0" borderId="0" xfId="0" applyFont="1" applyAlignment="1">
      <alignment/>
    </xf>
    <xf numFmtId="0" fontId="11" fillId="0" borderId="0" xfId="0" applyFont="1" applyBorder="1" applyAlignment="1">
      <alignment horizontal="left"/>
    </xf>
    <xf numFmtId="0" fontId="12" fillId="0" borderId="24" xfId="0" applyFont="1" applyBorder="1" applyAlignment="1">
      <alignment/>
    </xf>
    <xf numFmtId="0" fontId="7" fillId="0" borderId="21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24" fillId="0" borderId="0" xfId="0" applyFont="1" applyBorder="1" applyAlignment="1">
      <alignment horizontal="left"/>
    </xf>
    <xf numFmtId="0" fontId="9" fillId="0" borderId="24" xfId="0" applyFont="1" applyBorder="1" applyAlignment="1">
      <alignment/>
    </xf>
    <xf numFmtId="0" fontId="12" fillId="0" borderId="36" xfId="0" applyFont="1" applyBorder="1" applyAlignment="1">
      <alignment horizontal="center"/>
    </xf>
    <xf numFmtId="43" fontId="6" fillId="0" borderId="32" xfId="0" applyNumberFormat="1" applyFont="1" applyBorder="1" applyAlignment="1">
      <alignment/>
    </xf>
    <xf numFmtId="43" fontId="3" fillId="0" borderId="12" xfId="0" applyNumberFormat="1" applyFont="1" applyBorder="1" applyAlignment="1">
      <alignment/>
    </xf>
    <xf numFmtId="43" fontId="15" fillId="0" borderId="26" xfId="38" applyFont="1" applyBorder="1" applyAlignment="1">
      <alignment/>
    </xf>
    <xf numFmtId="0" fontId="45" fillId="0" borderId="0" xfId="0" applyFont="1" applyAlignment="1">
      <alignment/>
    </xf>
    <xf numFmtId="0" fontId="6" fillId="0" borderId="38" xfId="0" applyFont="1" applyBorder="1" applyAlignment="1">
      <alignment/>
    </xf>
    <xf numFmtId="43" fontId="46" fillId="0" borderId="0" xfId="38" applyFont="1" applyAlignment="1">
      <alignment/>
    </xf>
    <xf numFmtId="43" fontId="6" fillId="0" borderId="16" xfId="38" applyFont="1" applyBorder="1" applyAlignment="1">
      <alignment/>
    </xf>
    <xf numFmtId="43" fontId="6" fillId="0" borderId="21" xfId="38" applyFont="1" applyBorder="1" applyAlignment="1">
      <alignment/>
    </xf>
    <xf numFmtId="43" fontId="6" fillId="0" borderId="25" xfId="38" applyFont="1" applyBorder="1" applyAlignment="1">
      <alignment/>
    </xf>
    <xf numFmtId="194" fontId="3" fillId="0" borderId="0" xfId="0" applyNumberFormat="1" applyFont="1" applyAlignment="1">
      <alignment/>
    </xf>
    <xf numFmtId="0" fontId="36" fillId="0" borderId="0" xfId="0" applyFont="1" applyAlignment="1">
      <alignment/>
    </xf>
    <xf numFmtId="194" fontId="19" fillId="0" borderId="0" xfId="0" applyNumberFormat="1" applyFont="1" applyAlignment="1">
      <alignment/>
    </xf>
    <xf numFmtId="49" fontId="19" fillId="0" borderId="31" xfId="0" applyNumberFormat="1" applyFont="1" applyBorder="1" applyAlignment="1">
      <alignment horizontal="center"/>
    </xf>
    <xf numFmtId="0" fontId="9" fillId="0" borderId="0" xfId="0" applyFont="1" applyBorder="1" applyAlignment="1" quotePrefix="1">
      <alignment horizontal="center"/>
    </xf>
    <xf numFmtId="0" fontId="10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left"/>
    </xf>
    <xf numFmtId="43" fontId="9" fillId="0" borderId="32" xfId="0" applyNumberFormat="1" applyFont="1" applyBorder="1" applyAlignment="1">
      <alignment/>
    </xf>
    <xf numFmtId="0" fontId="9" fillId="0" borderId="17" xfId="0" applyFont="1" applyBorder="1" applyAlignment="1">
      <alignment/>
    </xf>
    <xf numFmtId="0" fontId="9" fillId="0" borderId="21" xfId="0" applyFont="1" applyBorder="1" applyAlignment="1">
      <alignment horizontal="center"/>
    </xf>
    <xf numFmtId="0" fontId="9" fillId="0" borderId="38" xfId="0" applyFont="1" applyBorder="1" applyAlignment="1">
      <alignment/>
    </xf>
    <xf numFmtId="0" fontId="21" fillId="0" borderId="19" xfId="0" applyFont="1" applyBorder="1" applyAlignment="1">
      <alignment horizontal="center"/>
    </xf>
    <xf numFmtId="0" fontId="19" fillId="0" borderId="24" xfId="0" applyFont="1" applyBorder="1" applyAlignment="1">
      <alignment horizontal="left" indent="1"/>
    </xf>
    <xf numFmtId="0" fontId="10" fillId="0" borderId="19" xfId="0" applyFont="1" applyBorder="1" applyAlignment="1">
      <alignment horizontal="center"/>
    </xf>
    <xf numFmtId="0" fontId="12" fillId="0" borderId="38" xfId="0" applyFont="1" applyBorder="1" applyAlignment="1">
      <alignment/>
    </xf>
    <xf numFmtId="194" fontId="43" fillId="0" borderId="0" xfId="0" applyNumberFormat="1" applyFont="1" applyAlignment="1">
      <alignment horizontal="center"/>
    </xf>
    <xf numFmtId="49" fontId="33" fillId="0" borderId="16" xfId="0" applyNumberFormat="1" applyFont="1" applyBorder="1" applyAlignment="1">
      <alignment horizontal="center"/>
    </xf>
    <xf numFmtId="43" fontId="33" fillId="0" borderId="16" xfId="38" applyFont="1" applyBorder="1" applyAlignment="1">
      <alignment horizontal="center"/>
    </xf>
    <xf numFmtId="43" fontId="4" fillId="0" borderId="11" xfId="38" applyFont="1" applyFill="1" applyBorder="1" applyAlignment="1">
      <alignment/>
    </xf>
    <xf numFmtId="43" fontId="3" fillId="0" borderId="13" xfId="38" applyFont="1" applyFill="1" applyBorder="1" applyAlignment="1">
      <alignment/>
    </xf>
    <xf numFmtId="43" fontId="3" fillId="0" borderId="27" xfId="0" applyNumberFormat="1" applyFont="1" applyFill="1" applyBorder="1" applyAlignment="1">
      <alignment/>
    </xf>
    <xf numFmtId="43" fontId="4" fillId="0" borderId="17" xfId="0" applyNumberFormat="1" applyFont="1" applyFill="1" applyBorder="1" applyAlignment="1">
      <alignment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/>
    </xf>
    <xf numFmtId="49" fontId="6" fillId="0" borderId="19" xfId="0" applyNumberFormat="1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6" fillId="0" borderId="17" xfId="0" applyFont="1" applyBorder="1" applyAlignment="1">
      <alignment/>
    </xf>
    <xf numFmtId="0" fontId="6" fillId="0" borderId="24" xfId="0" applyFont="1" applyBorder="1" applyAlignment="1">
      <alignment/>
    </xf>
    <xf numFmtId="0" fontId="8" fillId="0" borderId="24" xfId="0" applyFont="1" applyBorder="1" applyAlignment="1">
      <alignment horizontal="center"/>
    </xf>
    <xf numFmtId="43" fontId="34" fillId="0" borderId="0" xfId="0" applyNumberFormat="1" applyFont="1" applyAlignment="1">
      <alignment/>
    </xf>
    <xf numFmtId="43" fontId="35" fillId="0" borderId="0" xfId="38" applyFont="1" applyAlignment="1">
      <alignment/>
    </xf>
    <xf numFmtId="43" fontId="6" fillId="0" borderId="13" xfId="38" applyFont="1" applyBorder="1" applyAlignment="1">
      <alignment horizontal="center" vertical="center"/>
    </xf>
    <xf numFmtId="49" fontId="33" fillId="0" borderId="38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43" fontId="2" fillId="0" borderId="0" xfId="38" applyFont="1" applyAlignment="1">
      <alignment vertical="center"/>
    </xf>
    <xf numFmtId="0" fontId="2" fillId="0" borderId="0" xfId="0" applyFont="1" applyAlignment="1">
      <alignment vertical="center"/>
    </xf>
    <xf numFmtId="0" fontId="23" fillId="0" borderId="0" xfId="0" applyFont="1" applyBorder="1" applyAlignment="1">
      <alignment vertical="center"/>
    </xf>
    <xf numFmtId="0" fontId="48" fillId="0" borderId="0" xfId="0" applyFont="1" applyBorder="1" applyAlignment="1">
      <alignment vertical="center"/>
    </xf>
    <xf numFmtId="43" fontId="23" fillId="0" borderId="0" xfId="38" applyFont="1" applyAlignment="1">
      <alignment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right" vertical="center"/>
    </xf>
    <xf numFmtId="0" fontId="37" fillId="0" borderId="0" xfId="0" applyFont="1" applyBorder="1" applyAlignment="1">
      <alignment/>
    </xf>
    <xf numFmtId="43" fontId="37" fillId="0" borderId="0" xfId="38" applyFont="1" applyBorder="1" applyAlignment="1">
      <alignment/>
    </xf>
    <xf numFmtId="43" fontId="37" fillId="0" borderId="0" xfId="38" applyFont="1" applyAlignment="1">
      <alignment/>
    </xf>
    <xf numFmtId="0" fontId="37" fillId="0" borderId="0" xfId="0" applyFont="1" applyAlignment="1">
      <alignment/>
    </xf>
    <xf numFmtId="43" fontId="8" fillId="0" borderId="17" xfId="38" applyFont="1" applyBorder="1" applyAlignment="1">
      <alignment/>
    </xf>
    <xf numFmtId="43" fontId="28" fillId="0" borderId="19" xfId="0" applyNumberFormat="1" applyFont="1" applyBorder="1" applyAlignment="1">
      <alignment/>
    </xf>
    <xf numFmtId="43" fontId="4" fillId="0" borderId="0" xfId="0" applyNumberFormat="1" applyFont="1" applyAlignment="1">
      <alignment horizontal="center"/>
    </xf>
    <xf numFmtId="0" fontId="10" fillId="0" borderId="23" xfId="0" applyFont="1" applyBorder="1" applyAlignment="1">
      <alignment horizontal="center"/>
    </xf>
    <xf numFmtId="0" fontId="19" fillId="0" borderId="0" xfId="0" applyFont="1" applyBorder="1" applyAlignment="1">
      <alignment horizontal="left" indent="1"/>
    </xf>
    <xf numFmtId="43" fontId="10" fillId="0" borderId="0" xfId="0" applyNumberFormat="1" applyFont="1" applyBorder="1" applyAlignment="1">
      <alignment horizontal="left"/>
    </xf>
    <xf numFmtId="194" fontId="12" fillId="0" borderId="0" xfId="0" applyNumberFormat="1" applyFont="1" applyBorder="1" applyAlignment="1">
      <alignment horizontal="left"/>
    </xf>
    <xf numFmtId="49" fontId="49" fillId="0" borderId="0" xfId="0" applyNumberFormat="1" applyFont="1" applyBorder="1" applyAlignment="1">
      <alignment horizontal="left" indent="2"/>
    </xf>
    <xf numFmtId="43" fontId="19" fillId="0" borderId="28" xfId="38" applyFont="1" applyBorder="1" applyAlignment="1">
      <alignment horizontal="center"/>
    </xf>
    <xf numFmtId="43" fontId="35" fillId="0" borderId="0" xfId="38" applyFont="1" applyAlignment="1">
      <alignment/>
    </xf>
    <xf numFmtId="194" fontId="35" fillId="0" borderId="0" xfId="0" applyNumberFormat="1" applyFont="1" applyAlignment="1">
      <alignment/>
    </xf>
    <xf numFmtId="0" fontId="12" fillId="0" borderId="13" xfId="0" applyFont="1" applyBorder="1" applyAlignment="1">
      <alignment/>
    </xf>
    <xf numFmtId="40" fontId="19" fillId="0" borderId="13" xfId="0" applyNumberFormat="1" applyFont="1" applyBorder="1" applyAlignment="1">
      <alignment horizontal="right"/>
    </xf>
    <xf numFmtId="43" fontId="12" fillId="0" borderId="17" xfId="38" applyFont="1" applyBorder="1" applyAlignment="1">
      <alignment horizontal="right" vertical="center"/>
    </xf>
    <xf numFmtId="194" fontId="15" fillId="0" borderId="0" xfId="0" applyNumberFormat="1" applyFont="1" applyAlignment="1">
      <alignment/>
    </xf>
    <xf numFmtId="0" fontId="29" fillId="0" borderId="0" xfId="0" applyFont="1" applyAlignment="1">
      <alignment horizontal="center"/>
    </xf>
    <xf numFmtId="49" fontId="3" fillId="0" borderId="28" xfId="38" applyNumberFormat="1" applyFont="1" applyBorder="1" applyAlignment="1">
      <alignment horizontal="center"/>
    </xf>
    <xf numFmtId="194" fontId="3" fillId="0" borderId="0" xfId="0" applyNumberFormat="1" applyFont="1" applyBorder="1" applyAlignment="1">
      <alignment/>
    </xf>
    <xf numFmtId="43" fontId="9" fillId="0" borderId="0" xfId="0" applyNumberFormat="1" applyFont="1" applyBorder="1" applyAlignment="1">
      <alignment/>
    </xf>
    <xf numFmtId="194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3" fontId="6" fillId="0" borderId="0" xfId="38" applyFont="1" applyAlignment="1">
      <alignment/>
    </xf>
    <xf numFmtId="0" fontId="20" fillId="0" borderId="28" xfId="0" applyFont="1" applyBorder="1" applyAlignment="1">
      <alignment horizontal="center"/>
    </xf>
    <xf numFmtId="43" fontId="3" fillId="0" borderId="0" xfId="38" applyFont="1" applyAlignment="1">
      <alignment horizontal="right"/>
    </xf>
    <xf numFmtId="43" fontId="9" fillId="0" borderId="27" xfId="0" applyNumberFormat="1" applyFont="1" applyBorder="1" applyAlignment="1">
      <alignment/>
    </xf>
    <xf numFmtId="0" fontId="11" fillId="0" borderId="38" xfId="0" applyFont="1" applyBorder="1" applyAlignment="1">
      <alignment horizontal="left"/>
    </xf>
    <xf numFmtId="49" fontId="33" fillId="0" borderId="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9" fillId="0" borderId="13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38" fillId="0" borderId="0" xfId="0" applyFont="1" applyAlignment="1">
      <alignment/>
    </xf>
    <xf numFmtId="43" fontId="8" fillId="0" borderId="0" xfId="38" applyFont="1" applyBorder="1" applyAlignment="1">
      <alignment/>
    </xf>
    <xf numFmtId="49" fontId="4" fillId="0" borderId="10" xfId="0" applyNumberFormat="1" applyFont="1" applyBorder="1" applyAlignment="1">
      <alignment/>
    </xf>
    <xf numFmtId="43" fontId="8" fillId="0" borderId="0" xfId="38" applyFont="1" applyAlignment="1">
      <alignment horizontal="center"/>
    </xf>
    <xf numFmtId="43" fontId="6" fillId="0" borderId="0" xfId="0" applyNumberFormat="1" applyFont="1" applyBorder="1" applyAlignment="1">
      <alignment/>
    </xf>
    <xf numFmtId="43" fontId="8" fillId="0" borderId="0" xfId="38" applyFont="1" applyAlignment="1">
      <alignment horizontal="left"/>
    </xf>
    <xf numFmtId="0" fontId="44" fillId="0" borderId="0" xfId="0" applyFont="1" applyBorder="1" applyAlignment="1">
      <alignment horizontal="left"/>
    </xf>
    <xf numFmtId="43" fontId="8" fillId="0" borderId="0" xfId="38" applyFont="1" applyAlignment="1">
      <alignment/>
    </xf>
    <xf numFmtId="43" fontId="6" fillId="0" borderId="0" xfId="38" applyFont="1" applyBorder="1" applyAlignment="1">
      <alignment/>
    </xf>
    <xf numFmtId="0" fontId="6" fillId="0" borderId="39" xfId="0" applyFont="1" applyBorder="1" applyAlignment="1">
      <alignment/>
    </xf>
    <xf numFmtId="0" fontId="44" fillId="0" borderId="40" xfId="0" applyFont="1" applyBorder="1" applyAlignment="1">
      <alignment horizontal="center"/>
    </xf>
    <xf numFmtId="43" fontId="8" fillId="0" borderId="32" xfId="0" applyNumberFormat="1" applyFont="1" applyBorder="1" applyAlignment="1">
      <alignment/>
    </xf>
    <xf numFmtId="0" fontId="9" fillId="0" borderId="36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43" fontId="6" fillId="0" borderId="0" xfId="38" applyFont="1" applyAlignment="1">
      <alignment horizontal="left"/>
    </xf>
    <xf numFmtId="0" fontId="10" fillId="0" borderId="0" xfId="0" applyFont="1" applyAlignment="1">
      <alignment horizontal="center"/>
    </xf>
    <xf numFmtId="43" fontId="19" fillId="0" borderId="0" xfId="0" applyNumberFormat="1" applyFont="1" applyAlignment="1">
      <alignment/>
    </xf>
    <xf numFmtId="43" fontId="19" fillId="0" borderId="32" xfId="0" applyNumberFormat="1" applyFont="1" applyBorder="1" applyAlignment="1">
      <alignment/>
    </xf>
    <xf numFmtId="43" fontId="51" fillId="0" borderId="0" xfId="38" applyFont="1" applyAlignment="1">
      <alignment/>
    </xf>
    <xf numFmtId="43" fontId="50" fillId="0" borderId="0" xfId="38" applyFont="1" applyAlignment="1">
      <alignment/>
    </xf>
    <xf numFmtId="43" fontId="3" fillId="0" borderId="13" xfId="0" applyNumberFormat="1" applyFont="1" applyBorder="1" applyAlignment="1">
      <alignment/>
    </xf>
    <xf numFmtId="43" fontId="33" fillId="0" borderId="13" xfId="38" applyFont="1" applyBorder="1" applyAlignment="1">
      <alignment horizontal="center"/>
    </xf>
    <xf numFmtId="0" fontId="19" fillId="0" borderId="0" xfId="0" applyFont="1" applyBorder="1" applyAlignment="1">
      <alignment/>
    </xf>
    <xf numFmtId="43" fontId="25" fillId="0" borderId="13" xfId="38" applyFont="1" applyBorder="1" applyAlignment="1">
      <alignment/>
    </xf>
    <xf numFmtId="43" fontId="25" fillId="0" borderId="16" xfId="38" applyFont="1" applyBorder="1" applyAlignment="1">
      <alignment/>
    </xf>
    <xf numFmtId="43" fontId="25" fillId="0" borderId="16" xfId="0" applyNumberFormat="1" applyFont="1" applyBorder="1" applyAlignment="1">
      <alignment/>
    </xf>
    <xf numFmtId="43" fontId="25" fillId="0" borderId="13" xfId="38" applyFont="1" applyFill="1" applyBorder="1" applyAlignment="1">
      <alignment/>
    </xf>
    <xf numFmtId="43" fontId="33" fillId="0" borderId="27" xfId="38" applyFont="1" applyBorder="1" applyAlignment="1">
      <alignment horizontal="center" vertical="center"/>
    </xf>
    <xf numFmtId="43" fontId="33" fillId="0" borderId="40" xfId="38" applyFont="1" applyBorder="1" applyAlignment="1">
      <alignment horizontal="center" vertical="center"/>
    </xf>
    <xf numFmtId="43" fontId="12" fillId="0" borderId="24" xfId="0" applyNumberFormat="1" applyFont="1" applyBorder="1" applyAlignment="1">
      <alignment/>
    </xf>
    <xf numFmtId="0" fontId="12" fillId="0" borderId="17" xfId="0" applyFont="1" applyBorder="1" applyAlignment="1">
      <alignment/>
    </xf>
    <xf numFmtId="0" fontId="6" fillId="0" borderId="15" xfId="0" applyFont="1" applyBorder="1" applyAlignment="1">
      <alignment horizontal="left"/>
    </xf>
    <xf numFmtId="0" fontId="6" fillId="0" borderId="26" xfId="0" applyFont="1" applyBorder="1" applyAlignment="1">
      <alignment/>
    </xf>
    <xf numFmtId="43" fontId="9" fillId="0" borderId="25" xfId="38" applyFont="1" applyBorder="1" applyAlignment="1">
      <alignment/>
    </xf>
    <xf numFmtId="0" fontId="8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43" fontId="19" fillId="0" borderId="0" xfId="38" applyFont="1" applyAlignment="1">
      <alignment horizontal="left"/>
    </xf>
    <xf numFmtId="43" fontId="12" fillId="0" borderId="0" xfId="38" applyFont="1" applyAlignment="1">
      <alignment/>
    </xf>
    <xf numFmtId="43" fontId="9" fillId="0" borderId="0" xfId="0" applyNumberFormat="1" applyFont="1" applyAlignment="1">
      <alignment/>
    </xf>
    <xf numFmtId="194" fontId="6" fillId="0" borderId="23" xfId="0" applyNumberFormat="1" applyFont="1" applyBorder="1" applyAlignment="1">
      <alignment/>
    </xf>
    <xf numFmtId="43" fontId="6" fillId="0" borderId="13" xfId="38" applyFont="1" applyBorder="1" applyAlignment="1">
      <alignment horizontal="right" vertical="center"/>
    </xf>
    <xf numFmtId="43" fontId="33" fillId="0" borderId="0" xfId="38" applyFont="1" applyBorder="1" applyAlignment="1">
      <alignment horizontal="center" vertical="center"/>
    </xf>
    <xf numFmtId="43" fontId="19" fillId="0" borderId="32" xfId="38" applyFont="1" applyBorder="1" applyAlignment="1">
      <alignment/>
    </xf>
    <xf numFmtId="0" fontId="19" fillId="0" borderId="32" xfId="0" applyFont="1" applyBorder="1" applyAlignment="1">
      <alignment/>
    </xf>
    <xf numFmtId="0" fontId="19" fillId="0" borderId="37" xfId="0" applyFont="1" applyBorder="1" applyAlignment="1">
      <alignment/>
    </xf>
    <xf numFmtId="0" fontId="12" fillId="0" borderId="0" xfId="0" applyFont="1" applyAlignment="1">
      <alignment horizontal="center"/>
    </xf>
    <xf numFmtId="194" fontId="6" fillId="0" borderId="0" xfId="0" applyNumberFormat="1" applyFont="1" applyAlignment="1">
      <alignment/>
    </xf>
    <xf numFmtId="194" fontId="6" fillId="0" borderId="0" xfId="0" applyNumberFormat="1" applyFont="1" applyBorder="1" applyAlignment="1">
      <alignment/>
    </xf>
    <xf numFmtId="43" fontId="6" fillId="0" borderId="16" xfId="38" applyFont="1" applyBorder="1" applyAlignment="1">
      <alignment horizontal="center" vertical="center"/>
    </xf>
    <xf numFmtId="43" fontId="6" fillId="0" borderId="21" xfId="38" applyFont="1" applyBorder="1" applyAlignment="1">
      <alignment horizontal="center" vertical="center"/>
    </xf>
    <xf numFmtId="43" fontId="3" fillId="0" borderId="32" xfId="0" applyNumberFormat="1" applyFont="1" applyBorder="1" applyAlignment="1">
      <alignment horizontal="center"/>
    </xf>
    <xf numFmtId="194" fontId="9" fillId="0" borderId="0" xfId="0" applyNumberFormat="1" applyFont="1" applyAlignment="1">
      <alignment/>
    </xf>
    <xf numFmtId="43" fontId="9" fillId="0" borderId="0" xfId="38" applyFont="1" applyAlignment="1">
      <alignment/>
    </xf>
    <xf numFmtId="0" fontId="6" fillId="0" borderId="0" xfId="0" applyFont="1" applyAlignment="1">
      <alignment horizontal="left"/>
    </xf>
    <xf numFmtId="43" fontId="6" fillId="0" borderId="0" xfId="38" applyFont="1" applyAlignment="1">
      <alignment/>
    </xf>
    <xf numFmtId="0" fontId="52" fillId="0" borderId="0" xfId="0" applyFont="1" applyAlignment="1">
      <alignment/>
    </xf>
    <xf numFmtId="0" fontId="5" fillId="0" borderId="41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right"/>
    </xf>
    <xf numFmtId="0" fontId="10" fillId="0" borderId="0" xfId="0" applyFont="1" applyAlignment="1">
      <alignment/>
    </xf>
    <xf numFmtId="0" fontId="5" fillId="0" borderId="11" xfId="0" applyFont="1" applyBorder="1" applyAlignment="1">
      <alignment horizontal="center"/>
    </xf>
    <xf numFmtId="0" fontId="19" fillId="0" borderId="30" xfId="0" applyFont="1" applyBorder="1" applyAlignment="1">
      <alignment horizontal="center"/>
    </xf>
    <xf numFmtId="0" fontId="19" fillId="0" borderId="31" xfId="0" applyFont="1" applyBorder="1" applyAlignment="1">
      <alignment horizontal="center"/>
    </xf>
    <xf numFmtId="0" fontId="19" fillId="0" borderId="21" xfId="0" applyFont="1" applyBorder="1" applyAlignment="1">
      <alignment/>
    </xf>
    <xf numFmtId="43" fontId="3" fillId="0" borderId="32" xfId="0" applyNumberFormat="1" applyFont="1" applyBorder="1" applyAlignment="1">
      <alignment/>
    </xf>
    <xf numFmtId="43" fontId="3" fillId="0" borderId="25" xfId="38" applyFont="1" applyBorder="1" applyAlignment="1">
      <alignment/>
    </xf>
    <xf numFmtId="43" fontId="3" fillId="0" borderId="25" xfId="0" applyNumberFormat="1" applyFont="1" applyBorder="1" applyAlignment="1">
      <alignment/>
    </xf>
    <xf numFmtId="43" fontId="3" fillId="0" borderId="21" xfId="38" applyFont="1" applyBorder="1" applyAlignment="1">
      <alignment/>
    </xf>
    <xf numFmtId="43" fontId="8" fillId="0" borderId="0" xfId="38" applyFont="1" applyAlignment="1">
      <alignment/>
    </xf>
    <xf numFmtId="194" fontId="3" fillId="0" borderId="32" xfId="0" applyNumberFormat="1" applyFont="1" applyBorder="1" applyAlignment="1">
      <alignment/>
    </xf>
    <xf numFmtId="43" fontId="19" fillId="0" borderId="28" xfId="38" applyFont="1" applyBorder="1" applyAlignment="1">
      <alignment/>
    </xf>
    <xf numFmtId="43" fontId="37" fillId="0" borderId="0" xfId="38" applyFont="1" applyAlignment="1">
      <alignment horizontal="center"/>
    </xf>
    <xf numFmtId="43" fontId="6" fillId="0" borderId="13" xfId="38" applyNumberFormat="1" applyFont="1" applyBorder="1" applyAlignment="1">
      <alignment/>
    </xf>
    <xf numFmtId="0" fontId="3" fillId="0" borderId="37" xfId="0" applyNumberFormat="1" applyFont="1" applyBorder="1" applyAlignment="1">
      <alignment horizontal="center"/>
    </xf>
    <xf numFmtId="233" fontId="12" fillId="0" borderId="0" xfId="0" applyNumberFormat="1" applyFont="1" applyAlignment="1">
      <alignment/>
    </xf>
    <xf numFmtId="43" fontId="34" fillId="0" borderId="0" xfId="0" applyNumberFormat="1" applyFont="1" applyAlignment="1">
      <alignment/>
    </xf>
    <xf numFmtId="194" fontId="35" fillId="0" borderId="0" xfId="0" applyNumberFormat="1" applyFont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43" fontId="35" fillId="0" borderId="0" xfId="0" applyNumberFormat="1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54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left" vertical="center"/>
    </xf>
    <xf numFmtId="0" fontId="54" fillId="0" borderId="0" xfId="0" applyFont="1" applyAlignment="1">
      <alignment horizontal="center"/>
    </xf>
    <xf numFmtId="0" fontId="9" fillId="0" borderId="0" xfId="0" applyFont="1" applyAlignment="1">
      <alignment horizontal="left" vertical="center"/>
    </xf>
    <xf numFmtId="43" fontId="9" fillId="0" borderId="0" xfId="38" applyFont="1" applyAlignment="1">
      <alignment/>
    </xf>
    <xf numFmtId="43" fontId="9" fillId="0" borderId="0" xfId="38" applyFont="1" applyAlignment="1">
      <alignment horizontal="center"/>
    </xf>
    <xf numFmtId="0" fontId="8" fillId="0" borderId="0" xfId="0" applyFont="1" applyAlignment="1">
      <alignment/>
    </xf>
    <xf numFmtId="0" fontId="55" fillId="0" borderId="0" xfId="0" applyFont="1" applyAlignment="1">
      <alignment/>
    </xf>
    <xf numFmtId="43" fontId="10" fillId="0" borderId="0" xfId="38" applyFont="1" applyAlignment="1">
      <alignment/>
    </xf>
    <xf numFmtId="43" fontId="10" fillId="0" borderId="0" xfId="38" applyFont="1" applyAlignment="1">
      <alignment/>
    </xf>
    <xf numFmtId="43" fontId="10" fillId="0" borderId="0" xfId="38" applyFont="1" applyBorder="1" applyAlignment="1">
      <alignment horizontal="center"/>
    </xf>
    <xf numFmtId="43" fontId="10" fillId="0" borderId="0" xfId="38" applyFont="1" applyAlignment="1">
      <alignment horizontal="center"/>
    </xf>
    <xf numFmtId="43" fontId="9" fillId="0" borderId="0" xfId="38" applyFont="1" applyAlignment="1">
      <alignment/>
    </xf>
    <xf numFmtId="43" fontId="9" fillId="0" borderId="0" xfId="38" applyFont="1" applyAlignment="1">
      <alignment horizontal="center"/>
    </xf>
    <xf numFmtId="43" fontId="9" fillId="0" borderId="0" xfId="38" applyFont="1" applyBorder="1" applyAlignment="1">
      <alignment/>
    </xf>
    <xf numFmtId="43" fontId="10" fillId="0" borderId="0" xfId="38" applyFont="1" applyBorder="1" applyAlignment="1">
      <alignment horizontal="right"/>
    </xf>
    <xf numFmtId="0" fontId="10" fillId="0" borderId="0" xfId="0" applyFont="1" applyAlignment="1">
      <alignment/>
    </xf>
    <xf numFmtId="43" fontId="6" fillId="0" borderId="0" xfId="0" applyNumberFormat="1" applyFont="1" applyAlignment="1">
      <alignment/>
    </xf>
    <xf numFmtId="43" fontId="6" fillId="0" borderId="0" xfId="38" applyFont="1" applyFill="1" applyBorder="1" applyAlignment="1">
      <alignment horizontal="center"/>
    </xf>
    <xf numFmtId="43" fontId="0" fillId="0" borderId="0" xfId="38" applyFont="1" applyAlignment="1">
      <alignment/>
    </xf>
    <xf numFmtId="43" fontId="0" fillId="0" borderId="0" xfId="0" applyNumberFormat="1" applyAlignment="1">
      <alignment/>
    </xf>
    <xf numFmtId="43" fontId="9" fillId="0" borderId="32" xfId="38" applyFont="1" applyBorder="1" applyAlignment="1">
      <alignment/>
    </xf>
    <xf numFmtId="0" fontId="4" fillId="0" borderId="17" xfId="0" applyFont="1" applyBorder="1" applyAlignment="1">
      <alignment/>
    </xf>
    <xf numFmtId="0" fontId="1" fillId="0" borderId="17" xfId="0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43" fontId="4" fillId="0" borderId="18" xfId="0" applyNumberFormat="1" applyFont="1" applyBorder="1" applyAlignment="1">
      <alignment/>
    </xf>
    <xf numFmtId="43" fontId="92" fillId="0" borderId="16" xfId="0" applyNumberFormat="1" applyFont="1" applyBorder="1" applyAlignment="1">
      <alignment/>
    </xf>
    <xf numFmtId="43" fontId="92" fillId="0" borderId="13" xfId="0" applyNumberFormat="1" applyFont="1" applyBorder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 vertical="center"/>
    </xf>
    <xf numFmtId="43" fontId="9" fillId="0" borderId="0" xfId="38" applyFont="1" applyAlignment="1">
      <alignment/>
    </xf>
    <xf numFmtId="43" fontId="9" fillId="0" borderId="0" xfId="38" applyFont="1" applyAlignment="1">
      <alignment horizontal="left"/>
    </xf>
    <xf numFmtId="43" fontId="93" fillId="0" borderId="16" xfId="38" applyFont="1" applyBorder="1" applyAlignment="1">
      <alignment/>
    </xf>
    <xf numFmtId="194" fontId="34" fillId="0" borderId="0" xfId="0" applyNumberFormat="1" applyFont="1" applyBorder="1" applyAlignment="1">
      <alignment/>
    </xf>
    <xf numFmtId="43" fontId="4" fillId="0" borderId="17" xfId="0" applyNumberFormat="1" applyFont="1" applyBorder="1" applyAlignment="1">
      <alignment/>
    </xf>
    <xf numFmtId="43" fontId="19" fillId="0" borderId="0" xfId="38" applyFont="1" applyBorder="1" applyAlignment="1">
      <alignment horizontal="center"/>
    </xf>
    <xf numFmtId="43" fontId="54" fillId="0" borderId="0" xfId="0" applyNumberFormat="1" applyFont="1" applyAlignment="1">
      <alignment/>
    </xf>
    <xf numFmtId="43" fontId="6" fillId="34" borderId="16" xfId="38" applyFont="1" applyFill="1" applyBorder="1" applyAlignment="1" quotePrefix="1">
      <alignment horizontal="right"/>
    </xf>
    <xf numFmtId="43" fontId="6" fillId="34" borderId="21" xfId="38" applyFont="1" applyFill="1" applyBorder="1" applyAlignment="1">
      <alignment horizontal="right"/>
    </xf>
    <xf numFmtId="43" fontId="54" fillId="0" borderId="32" xfId="0" applyNumberFormat="1" applyFont="1" applyBorder="1" applyAlignment="1">
      <alignment/>
    </xf>
    <xf numFmtId="0" fontId="10" fillId="0" borderId="15" xfId="0" applyFont="1" applyBorder="1" applyAlignment="1">
      <alignment horizontal="center"/>
    </xf>
    <xf numFmtId="0" fontId="10" fillId="0" borderId="38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43" fontId="94" fillId="0" borderId="0" xfId="38" applyFont="1" applyAlignment="1">
      <alignment horizontal="left" indent="1"/>
    </xf>
    <xf numFmtId="0" fontId="95" fillId="0" borderId="0" xfId="0" applyFont="1" applyAlignment="1">
      <alignment horizontal="left" vertical="center"/>
    </xf>
    <xf numFmtId="0" fontId="94" fillId="0" borderId="0" xfId="0" applyFont="1" applyAlignment="1">
      <alignment horizontal="left" vertical="center"/>
    </xf>
    <xf numFmtId="0" fontId="3" fillId="0" borderId="0" xfId="0" applyFont="1" applyAlignment="1">
      <alignment horizontal="left" indent="1"/>
    </xf>
    <xf numFmtId="43" fontId="18" fillId="0" borderId="0" xfId="38" applyFont="1" applyBorder="1" applyAlignment="1">
      <alignment/>
    </xf>
    <xf numFmtId="43" fontId="12" fillId="0" borderId="0" xfId="38" applyFont="1" applyBorder="1" applyAlignment="1">
      <alignment horizontal="center"/>
    </xf>
    <xf numFmtId="43" fontId="96" fillId="0" borderId="0" xfId="38" applyFont="1" applyAlignment="1">
      <alignment/>
    </xf>
    <xf numFmtId="43" fontId="97" fillId="0" borderId="0" xfId="38" applyFont="1" applyAlignment="1">
      <alignment/>
    </xf>
    <xf numFmtId="0" fontId="8" fillId="0" borderId="23" xfId="0" applyFont="1" applyBorder="1" applyAlignment="1">
      <alignment/>
    </xf>
    <xf numFmtId="43" fontId="94" fillId="0" borderId="13" xfId="38" applyFont="1" applyBorder="1" applyAlignment="1">
      <alignment horizontal="center" vertical="center"/>
    </xf>
    <xf numFmtId="43" fontId="94" fillId="34" borderId="13" xfId="38" applyFont="1" applyFill="1" applyBorder="1" applyAlignment="1">
      <alignment/>
    </xf>
    <xf numFmtId="43" fontId="98" fillId="0" borderId="0" xfId="38" applyFont="1" applyBorder="1" applyAlignment="1">
      <alignment/>
    </xf>
    <xf numFmtId="43" fontId="3" fillId="0" borderId="28" xfId="38" applyFont="1" applyBorder="1" applyAlignment="1">
      <alignment horizontal="right"/>
    </xf>
    <xf numFmtId="43" fontId="19" fillId="0" borderId="24" xfId="0" applyNumberFormat="1" applyFont="1" applyBorder="1" applyAlignment="1">
      <alignment/>
    </xf>
    <xf numFmtId="43" fontId="19" fillId="0" borderId="0" xfId="0" applyNumberFormat="1" applyFont="1" applyBorder="1" applyAlignment="1">
      <alignment/>
    </xf>
    <xf numFmtId="0" fontId="10" fillId="0" borderId="15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10" fillId="0" borderId="38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9" fillId="0" borderId="24" xfId="0" applyFont="1" applyBorder="1" applyAlignment="1">
      <alignment horizontal="left"/>
    </xf>
    <xf numFmtId="49" fontId="4" fillId="0" borderId="0" xfId="0" applyNumberFormat="1" applyFont="1" applyAlignment="1">
      <alignment horizontal="center"/>
    </xf>
    <xf numFmtId="49" fontId="33" fillId="0" borderId="0" xfId="0" applyNumberFormat="1" applyFont="1" applyBorder="1" applyAlignment="1">
      <alignment horizontal="center" vertical="center"/>
    </xf>
    <xf numFmtId="43" fontId="3" fillId="0" borderId="0" xfId="38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19" fillId="0" borderId="0" xfId="0" applyNumberFormat="1" applyFont="1" applyAlignment="1">
      <alignment horizontal="center"/>
    </xf>
    <xf numFmtId="43" fontId="19" fillId="0" borderId="0" xfId="38" applyFont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6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19" fillId="0" borderId="0" xfId="0" applyFont="1" applyAlignment="1">
      <alignment horizontal="center"/>
    </xf>
    <xf numFmtId="0" fontId="4" fillId="0" borderId="16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43" fontId="19" fillId="0" borderId="0" xfId="0" applyNumberFormat="1" applyFont="1" applyAlignment="1">
      <alignment horizontal="center"/>
    </xf>
    <xf numFmtId="0" fontId="23" fillId="0" borderId="0" xfId="0" applyFont="1" applyBorder="1" applyAlignment="1">
      <alignment horizontal="center" vertical="center"/>
    </xf>
    <xf numFmtId="0" fontId="19" fillId="0" borderId="34" xfId="0" applyFont="1" applyBorder="1" applyAlignment="1">
      <alignment horizontal="center"/>
    </xf>
    <xf numFmtId="0" fontId="19" fillId="0" borderId="33" xfId="0" applyFont="1" applyBorder="1" applyAlignment="1">
      <alignment horizontal="center"/>
    </xf>
    <xf numFmtId="0" fontId="23" fillId="0" borderId="10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43" fontId="23" fillId="0" borderId="0" xfId="38" applyFont="1" applyAlignment="1">
      <alignment horizontal="center" vertical="center"/>
    </xf>
    <xf numFmtId="218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49" fontId="8" fillId="0" borderId="23" xfId="0" applyNumberFormat="1" applyFont="1" applyBorder="1" applyAlignment="1">
      <alignment horizontal="center"/>
    </xf>
    <xf numFmtId="43" fontId="8" fillId="0" borderId="0" xfId="38" applyFont="1" applyAlignment="1">
      <alignment horizontal="center"/>
    </xf>
    <xf numFmtId="43" fontId="8" fillId="0" borderId="0" xfId="38" applyFont="1" applyAlignment="1">
      <alignment horizontal="center"/>
    </xf>
    <xf numFmtId="0" fontId="10" fillId="0" borderId="0" xfId="0" applyFont="1" applyAlignment="1">
      <alignment horizontal="center"/>
    </xf>
    <xf numFmtId="49" fontId="10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center"/>
    </xf>
    <xf numFmtId="43" fontId="6" fillId="0" borderId="0" xfId="38" applyFont="1" applyAlignment="1">
      <alignment horizontal="center"/>
    </xf>
    <xf numFmtId="43" fontId="8" fillId="0" borderId="18" xfId="38" applyFont="1" applyBorder="1" applyAlignment="1">
      <alignment horizontal="center"/>
    </xf>
    <xf numFmtId="43" fontId="8" fillId="0" borderId="20" xfId="38" applyFont="1" applyBorder="1" applyAlignment="1">
      <alignment horizontal="center"/>
    </xf>
    <xf numFmtId="43" fontId="94" fillId="0" borderId="16" xfId="38" applyFont="1" applyBorder="1" applyAlignment="1">
      <alignment horizontal="center" vertical="center"/>
    </xf>
    <xf numFmtId="43" fontId="94" fillId="0" borderId="21" xfId="38" applyFont="1" applyBorder="1" applyAlignment="1">
      <alignment horizontal="center" vertical="center"/>
    </xf>
    <xf numFmtId="43" fontId="94" fillId="34" borderId="16" xfId="0" applyNumberFormat="1" applyFont="1" applyFill="1" applyBorder="1" applyAlignment="1">
      <alignment horizontal="center" vertical="center"/>
    </xf>
    <xf numFmtId="0" fontId="94" fillId="34" borderId="21" xfId="0" applyFont="1" applyFill="1" applyBorder="1" applyAlignment="1">
      <alignment horizontal="center" vertical="center"/>
    </xf>
    <xf numFmtId="43" fontId="6" fillId="0" borderId="16" xfId="38" applyFont="1" applyBorder="1" applyAlignment="1">
      <alignment horizontal="center" vertical="center"/>
    </xf>
    <xf numFmtId="43" fontId="6" fillId="0" borderId="21" xfId="38" applyFont="1" applyBorder="1" applyAlignment="1">
      <alignment horizontal="center" vertical="center"/>
    </xf>
    <xf numFmtId="43" fontId="6" fillId="34" borderId="16" xfId="38" applyFont="1" applyFill="1" applyBorder="1" applyAlignment="1">
      <alignment horizontal="center"/>
    </xf>
    <xf numFmtId="43" fontId="6" fillId="34" borderId="21" xfId="38" applyFont="1" applyFill="1" applyBorder="1" applyAlignment="1">
      <alignment horizontal="center"/>
    </xf>
    <xf numFmtId="43" fontId="6" fillId="0" borderId="0" xfId="38" applyFont="1" applyAlignment="1">
      <alignment horizontal="center"/>
    </xf>
    <xf numFmtId="43" fontId="8" fillId="0" borderId="0" xfId="38" applyFont="1" applyBorder="1" applyAlignment="1">
      <alignment horizontal="center"/>
    </xf>
    <xf numFmtId="49" fontId="53" fillId="0" borderId="0" xfId="0" applyNumberFormat="1" applyFont="1" applyBorder="1" applyAlignment="1">
      <alignment horizontal="center" vertical="center"/>
    </xf>
    <xf numFmtId="194" fontId="6" fillId="0" borderId="32" xfId="0" applyNumberFormat="1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18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43" fontId="94" fillId="0" borderId="16" xfId="0" applyNumberFormat="1" applyFont="1" applyBorder="1" applyAlignment="1">
      <alignment horizontal="center" vertical="center"/>
    </xf>
    <xf numFmtId="0" fontId="94" fillId="0" borderId="21" xfId="0" applyFont="1" applyBorder="1" applyAlignment="1">
      <alignment horizontal="center" vertical="center"/>
    </xf>
    <xf numFmtId="43" fontId="6" fillId="34" borderId="16" xfId="38" applyFont="1" applyFill="1" applyBorder="1" applyAlignment="1" quotePrefix="1">
      <alignment horizontal="right"/>
    </xf>
    <xf numFmtId="43" fontId="6" fillId="34" borderId="21" xfId="38" applyFont="1" applyFill="1" applyBorder="1" applyAlignment="1">
      <alignment horizontal="right"/>
    </xf>
    <xf numFmtId="43" fontId="6" fillId="0" borderId="16" xfId="38" applyFont="1" applyBorder="1" applyAlignment="1">
      <alignment horizontal="center"/>
    </xf>
    <xf numFmtId="43" fontId="6" fillId="0" borderId="21" xfId="38" applyFont="1" applyBorder="1" applyAlignment="1">
      <alignment horizontal="center"/>
    </xf>
    <xf numFmtId="43" fontId="6" fillId="0" borderId="16" xfId="38" applyFont="1" applyBorder="1" applyAlignment="1" quotePrefix="1">
      <alignment horizontal="right"/>
    </xf>
    <xf numFmtId="43" fontId="6" fillId="0" borderId="21" xfId="38" applyFont="1" applyBorder="1" applyAlignment="1">
      <alignment horizontal="right"/>
    </xf>
    <xf numFmtId="194" fontId="6" fillId="0" borderId="27" xfId="0" applyNumberFormat="1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43" fontId="6" fillId="0" borderId="0" xfId="38" applyFont="1" applyBorder="1" applyAlignment="1">
      <alignment horizontal="center"/>
    </xf>
    <xf numFmtId="43" fontId="6" fillId="0" borderId="16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43" fontId="6" fillId="0" borderId="15" xfId="38" applyFont="1" applyBorder="1" applyAlignment="1">
      <alignment horizontal="center" vertical="center"/>
    </xf>
    <xf numFmtId="43" fontId="6" fillId="0" borderId="38" xfId="38" applyFont="1" applyBorder="1" applyAlignment="1">
      <alignment horizontal="center" vertical="center"/>
    </xf>
    <xf numFmtId="43" fontId="8" fillId="0" borderId="27" xfId="0" applyNumberFormat="1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19" fillId="0" borderId="0" xfId="0" applyFont="1" applyAlignment="1">
      <alignment/>
    </xf>
    <xf numFmtId="0" fontId="4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49" fontId="22" fillId="0" borderId="0" xfId="0" applyNumberFormat="1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1152525</xdr:colOff>
      <xdr:row>5</xdr:row>
      <xdr:rowOff>9525</xdr:rowOff>
    </xdr:from>
    <xdr:to>
      <xdr:col>5</xdr:col>
      <xdr:colOff>1181100</xdr:colOff>
      <xdr:row>27</xdr:row>
      <xdr:rowOff>276225</xdr:rowOff>
    </xdr:to>
    <xdr:sp>
      <xdr:nvSpPr>
        <xdr:cNvPr id="1" name="Line 1"/>
        <xdr:cNvSpPr>
          <a:spLocks/>
        </xdr:cNvSpPr>
      </xdr:nvSpPr>
      <xdr:spPr>
        <a:xfrm flipH="1">
          <a:off x="6153150" y="1514475"/>
          <a:ext cx="28575" cy="69246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1171575</xdr:colOff>
      <xdr:row>5</xdr:row>
      <xdr:rowOff>0</xdr:rowOff>
    </xdr:from>
    <xdr:to>
      <xdr:col>6</xdr:col>
      <xdr:colOff>1181100</xdr:colOff>
      <xdr:row>27</xdr:row>
      <xdr:rowOff>295275</xdr:rowOff>
    </xdr:to>
    <xdr:sp>
      <xdr:nvSpPr>
        <xdr:cNvPr id="2" name="Line 2"/>
        <xdr:cNvSpPr>
          <a:spLocks/>
        </xdr:cNvSpPr>
      </xdr:nvSpPr>
      <xdr:spPr>
        <a:xfrm flipH="1">
          <a:off x="7572375" y="1504950"/>
          <a:ext cx="9525" cy="695325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1181100</xdr:colOff>
      <xdr:row>39</xdr:row>
      <xdr:rowOff>314325</xdr:rowOff>
    </xdr:from>
    <xdr:to>
      <xdr:col>5</xdr:col>
      <xdr:colOff>1190625</xdr:colOff>
      <xdr:row>67</xdr:row>
      <xdr:rowOff>9525</xdr:rowOff>
    </xdr:to>
    <xdr:sp>
      <xdr:nvSpPr>
        <xdr:cNvPr id="3" name="Line 3"/>
        <xdr:cNvSpPr>
          <a:spLocks/>
        </xdr:cNvSpPr>
      </xdr:nvSpPr>
      <xdr:spPr>
        <a:xfrm>
          <a:off x="6181725" y="12677775"/>
          <a:ext cx="9525" cy="75723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1181100</xdr:colOff>
      <xdr:row>76</xdr:row>
      <xdr:rowOff>9525</xdr:rowOff>
    </xdr:from>
    <xdr:to>
      <xdr:col>5</xdr:col>
      <xdr:colOff>1200150</xdr:colOff>
      <xdr:row>113</xdr:row>
      <xdr:rowOff>28575</xdr:rowOff>
    </xdr:to>
    <xdr:sp>
      <xdr:nvSpPr>
        <xdr:cNvPr id="4" name="Line 6"/>
        <xdr:cNvSpPr>
          <a:spLocks/>
        </xdr:cNvSpPr>
      </xdr:nvSpPr>
      <xdr:spPr>
        <a:xfrm flipH="1">
          <a:off x="6181725" y="23431500"/>
          <a:ext cx="19050" cy="105918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1190625</xdr:colOff>
      <xdr:row>76</xdr:row>
      <xdr:rowOff>0</xdr:rowOff>
    </xdr:from>
    <xdr:to>
      <xdr:col>6</xdr:col>
      <xdr:colOff>1190625</xdr:colOff>
      <xdr:row>113</xdr:row>
      <xdr:rowOff>9525</xdr:rowOff>
    </xdr:to>
    <xdr:sp>
      <xdr:nvSpPr>
        <xdr:cNvPr id="5" name="Line 7"/>
        <xdr:cNvSpPr>
          <a:spLocks/>
        </xdr:cNvSpPr>
      </xdr:nvSpPr>
      <xdr:spPr>
        <a:xfrm flipH="1">
          <a:off x="7591425" y="23421975"/>
          <a:ext cx="0" cy="105822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1171575</xdr:colOff>
      <xdr:row>39</xdr:row>
      <xdr:rowOff>295275</xdr:rowOff>
    </xdr:from>
    <xdr:to>
      <xdr:col>6</xdr:col>
      <xdr:colOff>1190625</xdr:colOff>
      <xdr:row>67</xdr:row>
      <xdr:rowOff>0</xdr:rowOff>
    </xdr:to>
    <xdr:sp>
      <xdr:nvSpPr>
        <xdr:cNvPr id="6" name="Line 8"/>
        <xdr:cNvSpPr>
          <a:spLocks/>
        </xdr:cNvSpPr>
      </xdr:nvSpPr>
      <xdr:spPr>
        <a:xfrm flipH="1" flipV="1">
          <a:off x="7572375" y="12658725"/>
          <a:ext cx="19050" cy="75819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238125</xdr:colOff>
      <xdr:row>60</xdr:row>
      <xdr:rowOff>0</xdr:rowOff>
    </xdr:from>
    <xdr:to>
      <xdr:col>10</xdr:col>
      <xdr:colOff>238125</xdr:colOff>
      <xdr:row>67</xdr:row>
      <xdr:rowOff>200025</xdr:rowOff>
    </xdr:to>
    <xdr:sp>
      <xdr:nvSpPr>
        <xdr:cNvPr id="7" name="Line 9"/>
        <xdr:cNvSpPr>
          <a:spLocks/>
        </xdr:cNvSpPr>
      </xdr:nvSpPr>
      <xdr:spPr>
        <a:xfrm>
          <a:off x="11125200" y="18297525"/>
          <a:ext cx="0" cy="21431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152400</xdr:colOff>
      <xdr:row>60</xdr:row>
      <xdr:rowOff>38100</xdr:rowOff>
    </xdr:from>
    <xdr:to>
      <xdr:col>11</xdr:col>
      <xdr:colOff>152400</xdr:colOff>
      <xdr:row>67</xdr:row>
      <xdr:rowOff>9525</xdr:rowOff>
    </xdr:to>
    <xdr:sp>
      <xdr:nvSpPr>
        <xdr:cNvPr id="8" name="Line 10"/>
        <xdr:cNvSpPr>
          <a:spLocks/>
        </xdr:cNvSpPr>
      </xdr:nvSpPr>
      <xdr:spPr>
        <a:xfrm>
          <a:off x="12077700" y="18335625"/>
          <a:ext cx="0" cy="19145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466725</xdr:colOff>
      <xdr:row>218</xdr:row>
      <xdr:rowOff>95250</xdr:rowOff>
    </xdr:from>
    <xdr:to>
      <xdr:col>11</xdr:col>
      <xdr:colOff>466725</xdr:colOff>
      <xdr:row>242</xdr:row>
      <xdr:rowOff>9525</xdr:rowOff>
    </xdr:to>
    <xdr:sp>
      <xdr:nvSpPr>
        <xdr:cNvPr id="9" name="Line 12"/>
        <xdr:cNvSpPr>
          <a:spLocks/>
        </xdr:cNvSpPr>
      </xdr:nvSpPr>
      <xdr:spPr>
        <a:xfrm flipH="1">
          <a:off x="12392025" y="63169800"/>
          <a:ext cx="0" cy="65436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314325</xdr:colOff>
      <xdr:row>119</xdr:row>
      <xdr:rowOff>0</xdr:rowOff>
    </xdr:from>
    <xdr:to>
      <xdr:col>9</xdr:col>
      <xdr:colOff>314325</xdr:colOff>
      <xdr:row>119</xdr:row>
      <xdr:rowOff>0</xdr:rowOff>
    </xdr:to>
    <xdr:sp>
      <xdr:nvSpPr>
        <xdr:cNvPr id="10" name="Line 13"/>
        <xdr:cNvSpPr>
          <a:spLocks/>
        </xdr:cNvSpPr>
      </xdr:nvSpPr>
      <xdr:spPr>
        <a:xfrm>
          <a:off x="10372725" y="35671125"/>
          <a:ext cx="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1190625</xdr:colOff>
      <xdr:row>0</xdr:row>
      <xdr:rowOff>0</xdr:rowOff>
    </xdr:from>
    <xdr:to>
      <xdr:col>3</xdr:col>
      <xdr:colOff>1200150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>
          <a:off x="5734050" y="0"/>
          <a:ext cx="952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1181100</xdr:colOff>
      <xdr:row>0</xdr:row>
      <xdr:rowOff>0</xdr:rowOff>
    </xdr:from>
    <xdr:to>
      <xdr:col>4</xdr:col>
      <xdr:colOff>1181100</xdr:colOff>
      <xdr:row>0</xdr:row>
      <xdr:rowOff>0</xdr:rowOff>
    </xdr:to>
    <xdr:sp>
      <xdr:nvSpPr>
        <xdr:cNvPr id="2" name="Line 3"/>
        <xdr:cNvSpPr>
          <a:spLocks/>
        </xdr:cNvSpPr>
      </xdr:nvSpPr>
      <xdr:spPr>
        <a:xfrm flipH="1">
          <a:off x="7077075" y="0"/>
          <a:ext cx="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714375</xdr:colOff>
      <xdr:row>0</xdr:row>
      <xdr:rowOff>0</xdr:rowOff>
    </xdr:from>
    <xdr:to>
      <xdr:col>5</xdr:col>
      <xdr:colOff>714375</xdr:colOff>
      <xdr:row>0</xdr:row>
      <xdr:rowOff>0</xdr:rowOff>
    </xdr:to>
    <xdr:sp>
      <xdr:nvSpPr>
        <xdr:cNvPr id="3" name="Line 4"/>
        <xdr:cNvSpPr>
          <a:spLocks/>
        </xdr:cNvSpPr>
      </xdr:nvSpPr>
      <xdr:spPr>
        <a:xfrm>
          <a:off x="7962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714375</xdr:colOff>
      <xdr:row>0</xdr:row>
      <xdr:rowOff>0</xdr:rowOff>
    </xdr:from>
    <xdr:to>
      <xdr:col>5</xdr:col>
      <xdr:colOff>714375</xdr:colOff>
      <xdr:row>0</xdr:row>
      <xdr:rowOff>0</xdr:rowOff>
    </xdr:to>
    <xdr:sp>
      <xdr:nvSpPr>
        <xdr:cNvPr id="4" name="Line 5"/>
        <xdr:cNvSpPr>
          <a:spLocks/>
        </xdr:cNvSpPr>
      </xdr:nvSpPr>
      <xdr:spPr>
        <a:xfrm flipV="1">
          <a:off x="7962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66675</xdr:colOff>
      <xdr:row>0</xdr:row>
      <xdr:rowOff>0</xdr:rowOff>
    </xdr:from>
    <xdr:to>
      <xdr:col>5</xdr:col>
      <xdr:colOff>257175</xdr:colOff>
      <xdr:row>0</xdr:row>
      <xdr:rowOff>0</xdr:rowOff>
    </xdr:to>
    <xdr:sp>
      <xdr:nvSpPr>
        <xdr:cNvPr id="5" name="AutoShape 6"/>
        <xdr:cNvSpPr>
          <a:spLocks/>
        </xdr:cNvSpPr>
      </xdr:nvSpPr>
      <xdr:spPr>
        <a:xfrm>
          <a:off x="7315200" y="0"/>
          <a:ext cx="1905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19050</xdr:colOff>
      <xdr:row>0</xdr:row>
      <xdr:rowOff>0</xdr:rowOff>
    </xdr:from>
    <xdr:to>
      <xdr:col>5</xdr:col>
      <xdr:colOff>95250</xdr:colOff>
      <xdr:row>0</xdr:row>
      <xdr:rowOff>0</xdr:rowOff>
    </xdr:to>
    <xdr:sp>
      <xdr:nvSpPr>
        <xdr:cNvPr id="6" name="AutoShape 7"/>
        <xdr:cNvSpPr>
          <a:spLocks/>
        </xdr:cNvSpPr>
      </xdr:nvSpPr>
      <xdr:spPr>
        <a:xfrm>
          <a:off x="72675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1190625</xdr:colOff>
      <xdr:row>4</xdr:row>
      <xdr:rowOff>9525</xdr:rowOff>
    </xdr:from>
    <xdr:to>
      <xdr:col>3</xdr:col>
      <xdr:colOff>1200150</xdr:colOff>
      <xdr:row>46</xdr:row>
      <xdr:rowOff>0</xdr:rowOff>
    </xdr:to>
    <xdr:sp>
      <xdr:nvSpPr>
        <xdr:cNvPr id="7" name="Line 10"/>
        <xdr:cNvSpPr>
          <a:spLocks/>
        </xdr:cNvSpPr>
      </xdr:nvSpPr>
      <xdr:spPr>
        <a:xfrm>
          <a:off x="5734050" y="1209675"/>
          <a:ext cx="9525" cy="107537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1171575</xdr:colOff>
      <xdr:row>4</xdr:row>
      <xdr:rowOff>9525</xdr:rowOff>
    </xdr:from>
    <xdr:to>
      <xdr:col>4</xdr:col>
      <xdr:colOff>1181100</xdr:colOff>
      <xdr:row>46</xdr:row>
      <xdr:rowOff>0</xdr:rowOff>
    </xdr:to>
    <xdr:sp>
      <xdr:nvSpPr>
        <xdr:cNvPr id="8" name="Line 11"/>
        <xdr:cNvSpPr>
          <a:spLocks/>
        </xdr:cNvSpPr>
      </xdr:nvSpPr>
      <xdr:spPr>
        <a:xfrm>
          <a:off x="7067550" y="1209675"/>
          <a:ext cx="9525" cy="107537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95250</xdr:colOff>
      <xdr:row>27</xdr:row>
      <xdr:rowOff>142875</xdr:rowOff>
    </xdr:from>
    <xdr:to>
      <xdr:col>5</xdr:col>
      <xdr:colOff>247650</xdr:colOff>
      <xdr:row>39</xdr:row>
      <xdr:rowOff>0</xdr:rowOff>
    </xdr:to>
    <xdr:sp>
      <xdr:nvSpPr>
        <xdr:cNvPr id="9" name="AutoShape 12"/>
        <xdr:cNvSpPr>
          <a:spLocks/>
        </xdr:cNvSpPr>
      </xdr:nvSpPr>
      <xdr:spPr>
        <a:xfrm>
          <a:off x="7343775" y="7239000"/>
          <a:ext cx="152400" cy="29718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1323975</xdr:colOff>
      <xdr:row>19</xdr:row>
      <xdr:rowOff>95250</xdr:rowOff>
    </xdr:from>
    <xdr:to>
      <xdr:col>5</xdr:col>
      <xdr:colOff>104775</xdr:colOff>
      <xdr:row>24</xdr:row>
      <xdr:rowOff>114300</xdr:rowOff>
    </xdr:to>
    <xdr:sp>
      <xdr:nvSpPr>
        <xdr:cNvPr id="10" name="AutoShape 12"/>
        <xdr:cNvSpPr>
          <a:spLocks/>
        </xdr:cNvSpPr>
      </xdr:nvSpPr>
      <xdr:spPr>
        <a:xfrm>
          <a:off x="7219950" y="5286375"/>
          <a:ext cx="133350" cy="12096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4</xdr:row>
      <xdr:rowOff>323850</xdr:rowOff>
    </xdr:from>
    <xdr:to>
      <xdr:col>3</xdr:col>
      <xdr:colOff>285750</xdr:colOff>
      <xdr:row>17</xdr:row>
      <xdr:rowOff>0</xdr:rowOff>
    </xdr:to>
    <xdr:sp>
      <xdr:nvSpPr>
        <xdr:cNvPr id="1" name="Line 9"/>
        <xdr:cNvSpPr>
          <a:spLocks/>
        </xdr:cNvSpPr>
      </xdr:nvSpPr>
      <xdr:spPr>
        <a:xfrm flipH="1">
          <a:off x="4400550" y="1333500"/>
          <a:ext cx="9525" cy="38862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285750</xdr:colOff>
      <xdr:row>5</xdr:row>
      <xdr:rowOff>0</xdr:rowOff>
    </xdr:from>
    <xdr:to>
      <xdr:col>5</xdr:col>
      <xdr:colOff>304800</xdr:colOff>
      <xdr:row>16</xdr:row>
      <xdr:rowOff>304800</xdr:rowOff>
    </xdr:to>
    <xdr:sp>
      <xdr:nvSpPr>
        <xdr:cNvPr id="2" name="Line 10"/>
        <xdr:cNvSpPr>
          <a:spLocks/>
        </xdr:cNvSpPr>
      </xdr:nvSpPr>
      <xdr:spPr>
        <a:xfrm flipH="1">
          <a:off x="5334000" y="1333500"/>
          <a:ext cx="19050" cy="386715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276225</xdr:colOff>
      <xdr:row>4</xdr:row>
      <xdr:rowOff>323850</xdr:rowOff>
    </xdr:from>
    <xdr:to>
      <xdr:col>7</xdr:col>
      <xdr:colOff>276225</xdr:colOff>
      <xdr:row>17</xdr:row>
      <xdr:rowOff>0</xdr:rowOff>
    </xdr:to>
    <xdr:sp>
      <xdr:nvSpPr>
        <xdr:cNvPr id="3" name="Line 11"/>
        <xdr:cNvSpPr>
          <a:spLocks/>
        </xdr:cNvSpPr>
      </xdr:nvSpPr>
      <xdr:spPr>
        <a:xfrm>
          <a:off x="6229350" y="1333500"/>
          <a:ext cx="0" cy="38862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847725</xdr:colOff>
      <xdr:row>5</xdr:row>
      <xdr:rowOff>0</xdr:rowOff>
    </xdr:from>
    <xdr:to>
      <xdr:col>1</xdr:col>
      <xdr:colOff>866775</xdr:colOff>
      <xdr:row>17</xdr:row>
      <xdr:rowOff>0</xdr:rowOff>
    </xdr:to>
    <xdr:sp>
      <xdr:nvSpPr>
        <xdr:cNvPr id="4" name="Line 13"/>
        <xdr:cNvSpPr>
          <a:spLocks/>
        </xdr:cNvSpPr>
      </xdr:nvSpPr>
      <xdr:spPr>
        <a:xfrm flipH="1">
          <a:off x="3419475" y="1333500"/>
          <a:ext cx="19050" cy="38862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14</xdr:col>
      <xdr:colOff>371475</xdr:colOff>
      <xdr:row>44</xdr:row>
      <xdr:rowOff>19050</xdr:rowOff>
    </xdr:from>
    <xdr:to>
      <xdr:col>14</xdr:col>
      <xdr:colOff>381000</xdr:colOff>
      <xdr:row>55</xdr:row>
      <xdr:rowOff>19050</xdr:rowOff>
    </xdr:to>
    <xdr:sp>
      <xdr:nvSpPr>
        <xdr:cNvPr id="5" name="Line 16"/>
        <xdr:cNvSpPr>
          <a:spLocks/>
        </xdr:cNvSpPr>
      </xdr:nvSpPr>
      <xdr:spPr>
        <a:xfrm>
          <a:off x="11325225" y="13239750"/>
          <a:ext cx="9525" cy="2828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333375</xdr:colOff>
      <xdr:row>22</xdr:row>
      <xdr:rowOff>209550</xdr:rowOff>
    </xdr:from>
    <xdr:to>
      <xdr:col>8</xdr:col>
      <xdr:colOff>333375</xdr:colOff>
      <xdr:row>23</xdr:row>
      <xdr:rowOff>180975</xdr:rowOff>
    </xdr:to>
    <xdr:sp>
      <xdr:nvSpPr>
        <xdr:cNvPr id="1" name="Line 2"/>
        <xdr:cNvSpPr>
          <a:spLocks/>
        </xdr:cNvSpPr>
      </xdr:nvSpPr>
      <xdr:spPr>
        <a:xfrm flipH="1">
          <a:off x="7839075" y="586740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438150</xdr:colOff>
      <xdr:row>4</xdr:row>
      <xdr:rowOff>219075</xdr:rowOff>
    </xdr:from>
    <xdr:to>
      <xdr:col>13</xdr:col>
      <xdr:colOff>514350</xdr:colOff>
      <xdr:row>9</xdr:row>
      <xdr:rowOff>114300</xdr:rowOff>
    </xdr:to>
    <xdr:sp>
      <xdr:nvSpPr>
        <xdr:cNvPr id="2" name="AutoShape 3"/>
        <xdr:cNvSpPr>
          <a:spLocks/>
        </xdr:cNvSpPr>
      </xdr:nvSpPr>
      <xdr:spPr>
        <a:xfrm>
          <a:off x="11534775" y="1247775"/>
          <a:ext cx="76200" cy="1181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304800</xdr:colOff>
      <xdr:row>55</xdr:row>
      <xdr:rowOff>0</xdr:rowOff>
    </xdr:from>
    <xdr:to>
      <xdr:col>9</xdr:col>
      <xdr:colOff>314325</xdr:colOff>
      <xdr:row>55</xdr:row>
      <xdr:rowOff>0</xdr:rowOff>
    </xdr:to>
    <xdr:sp>
      <xdr:nvSpPr>
        <xdr:cNvPr id="3" name="Line 4"/>
        <xdr:cNvSpPr>
          <a:spLocks/>
        </xdr:cNvSpPr>
      </xdr:nvSpPr>
      <xdr:spPr>
        <a:xfrm>
          <a:off x="8658225" y="146208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333375</xdr:colOff>
      <xdr:row>55</xdr:row>
      <xdr:rowOff>0</xdr:rowOff>
    </xdr:from>
    <xdr:to>
      <xdr:col>8</xdr:col>
      <xdr:colOff>333375</xdr:colOff>
      <xdr:row>55</xdr:row>
      <xdr:rowOff>0</xdr:rowOff>
    </xdr:to>
    <xdr:sp>
      <xdr:nvSpPr>
        <xdr:cNvPr id="4" name="Line 5"/>
        <xdr:cNvSpPr>
          <a:spLocks/>
        </xdr:cNvSpPr>
      </xdr:nvSpPr>
      <xdr:spPr>
        <a:xfrm flipH="1">
          <a:off x="7839075" y="1462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591;&#3610;&#3611;&#3619;&#3632;&#3592;&#3635;&#3648;&#3604;&#3639;&#3629;&#3609;\(08)%20&#3614;.&#3588;.5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3610;&#3640;&#3625;&#3585;&#3619;\&#3610;&#3633;&#3597;&#3594;&#3637;\&#3591;&#3610;&#3611;&#3619;&#3632;&#3592;&#3635;&#3648;&#3604;&#3639;&#3629;&#3609;\&#3591;&#3610;&#3648;&#3604;&#3639;&#3629;&#3609;%20&#3611;&#3637;%2059\&#3605;.&#3588;%20%20(1)%20%205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สมุดเงินสดรับ"/>
      <sheetName val="สมุดเงินสดจ่าย"/>
      <sheetName val="ใบผ่านมาตรฐาน 1, 2"/>
      <sheetName val="งบทดลอง "/>
      <sheetName val="รับ-จ่ายเงินสด   "/>
      <sheetName val="หมายเหตุ1 "/>
      <sheetName val="หมายเหตุ2  "/>
      <sheetName val="งบกระทบยอดธนาคาร (2)"/>
      <sheetName val="กระแสเงินสด"/>
      <sheetName val="กระทบยอดจ่ายจากรายรับ "/>
      <sheetName val="กระทบยอด(อุดหนุน)"/>
      <sheetName val="จ่ายจากเงินสะสม"/>
      <sheetName val="กระทบยอดคงเหลือ"/>
      <sheetName val="Sheet1"/>
      <sheetName val="Sheet3"/>
    </sheetNames>
    <sheetDataSet>
      <sheetData sheetId="5">
        <row r="13">
          <cell r="G13">
            <v>0</v>
          </cell>
        </row>
        <row r="15">
          <cell r="G15">
            <v>0</v>
          </cell>
        </row>
        <row r="18">
          <cell r="G18">
            <v>0</v>
          </cell>
        </row>
        <row r="19">
          <cell r="G19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สมุดเงินสดรับ "/>
      <sheetName val="สมุดเงินสดจ่าย"/>
      <sheetName val="ใบผ่านมาตรฐาน 1, 2"/>
      <sheetName val="งบทดลอง "/>
      <sheetName val="รับ-จ่ายเงินสด   "/>
      <sheetName val="หมายเหตุ1 "/>
      <sheetName val="หมายเหตุ2  "/>
      <sheetName val="งบกระทบยอดธนาคาร (2)"/>
      <sheetName val="กระแสเงินสด"/>
      <sheetName val="Sheet3"/>
    </sheetNames>
    <sheetDataSet>
      <sheetData sheetId="6">
        <row r="60">
          <cell r="F60">
            <v>2325989.9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9"/>
  <sheetViews>
    <sheetView zoomScale="75" zoomScaleNormal="75" zoomScaleSheetLayoutView="100" zoomScalePageLayoutView="0" workbookViewId="0" topLeftCell="A55">
      <selection activeCell="G112" sqref="G112"/>
    </sheetView>
  </sheetViews>
  <sheetFormatPr defaultColWidth="9.140625" defaultRowHeight="21.75"/>
  <cols>
    <col min="1" max="1" width="9.57421875" style="50" customWidth="1"/>
    <col min="2" max="2" width="11.28125" style="50" customWidth="1"/>
    <col min="3" max="3" width="15.421875" style="50" customWidth="1"/>
    <col min="4" max="4" width="29.8515625" style="50" customWidth="1"/>
    <col min="5" max="5" width="8.8515625" style="50" bestFit="1" customWidth="1"/>
    <col min="6" max="6" width="21.00390625" style="50" customWidth="1"/>
    <col min="7" max="7" width="21.00390625" style="63" customWidth="1"/>
    <col min="8" max="8" width="20.57421875" style="50" customWidth="1"/>
    <col min="9" max="9" width="13.28125" style="50" customWidth="1"/>
    <col min="10" max="10" width="12.421875" style="50" customWidth="1"/>
    <col min="11" max="11" width="15.57421875" style="50" customWidth="1"/>
    <col min="12" max="16384" width="9.140625" style="50" customWidth="1"/>
  </cols>
  <sheetData>
    <row r="1" spans="6:7" ht="23.25">
      <c r="F1" s="51" t="s">
        <v>484</v>
      </c>
      <c r="G1" s="145" t="s">
        <v>136</v>
      </c>
    </row>
    <row r="2" spans="2:6" ht="23.25">
      <c r="B2" s="52"/>
      <c r="C2" s="52"/>
      <c r="D2" s="52"/>
      <c r="E2" s="53"/>
      <c r="F2" s="54" t="s">
        <v>485</v>
      </c>
    </row>
    <row r="3" spans="2:6" ht="25.5">
      <c r="B3" s="530" t="s">
        <v>39</v>
      </c>
      <c r="C3" s="530"/>
      <c r="D3" s="530"/>
      <c r="E3" s="530"/>
      <c r="F3" s="530"/>
    </row>
    <row r="4" spans="1:7" ht="23.25">
      <c r="A4" s="52" t="s">
        <v>143</v>
      </c>
      <c r="B4" s="50" t="s">
        <v>2</v>
      </c>
      <c r="D4" s="55"/>
      <c r="E4" s="56"/>
      <c r="F4" s="56"/>
      <c r="G4" s="56"/>
    </row>
    <row r="5" spans="1:7" ht="23.25">
      <c r="A5" s="57"/>
      <c r="B5" s="531" t="s">
        <v>1</v>
      </c>
      <c r="C5" s="531"/>
      <c r="D5" s="532"/>
      <c r="E5" s="59" t="s">
        <v>5</v>
      </c>
      <c r="F5" s="58" t="s">
        <v>4</v>
      </c>
      <c r="G5" s="146" t="s">
        <v>3</v>
      </c>
    </row>
    <row r="6" spans="1:7" ht="23.25">
      <c r="A6" s="52" t="s">
        <v>4</v>
      </c>
      <c r="B6" s="51" t="s">
        <v>176</v>
      </c>
      <c r="C6" s="71"/>
      <c r="D6" s="71"/>
      <c r="E6" s="61">
        <v>110100</v>
      </c>
      <c r="F6" s="224">
        <v>2863</v>
      </c>
      <c r="G6" s="74"/>
    </row>
    <row r="7" spans="1:7" ht="23.25">
      <c r="A7" s="52"/>
      <c r="B7" s="107" t="s">
        <v>261</v>
      </c>
      <c r="C7" s="1"/>
      <c r="D7" s="1"/>
      <c r="E7" s="61"/>
      <c r="F7" s="224"/>
      <c r="G7" s="74"/>
    </row>
    <row r="8" spans="1:7" ht="23.25">
      <c r="A8" s="52"/>
      <c r="B8" s="107" t="s">
        <v>294</v>
      </c>
      <c r="C8" s="1"/>
      <c r="D8" s="1"/>
      <c r="E8" s="61"/>
      <c r="F8" s="224"/>
      <c r="G8" s="74"/>
    </row>
    <row r="9" spans="2:7" ht="23.25">
      <c r="B9" s="107" t="s">
        <v>156</v>
      </c>
      <c r="C9" s="1"/>
      <c r="D9" s="1"/>
      <c r="E9" s="61">
        <v>110201</v>
      </c>
      <c r="F9" s="66">
        <f>4051395.73-2863-7872</f>
        <v>4040660.73</v>
      </c>
      <c r="G9" s="148"/>
    </row>
    <row r="10" spans="2:7" ht="23.25">
      <c r="B10" s="107" t="s">
        <v>291</v>
      </c>
      <c r="C10" s="1"/>
      <c r="D10" s="1"/>
      <c r="E10" s="61">
        <v>110201</v>
      </c>
      <c r="F10" s="66">
        <v>0</v>
      </c>
      <c r="G10" s="148"/>
    </row>
    <row r="11" spans="2:7" ht="23.25">
      <c r="B11" s="107" t="s">
        <v>292</v>
      </c>
      <c r="C11" s="1"/>
      <c r="D11" s="1"/>
      <c r="E11" s="61">
        <v>110201</v>
      </c>
      <c r="F11" s="66">
        <f>5004+2868</f>
        <v>7872</v>
      </c>
      <c r="G11" s="147"/>
    </row>
    <row r="12" spans="2:7" ht="23.25">
      <c r="B12" s="107" t="s">
        <v>378</v>
      </c>
      <c r="C12" s="1"/>
      <c r="D12" s="1"/>
      <c r="E12" s="61">
        <v>110201</v>
      </c>
      <c r="F12" s="66"/>
      <c r="G12" s="147"/>
    </row>
    <row r="13" spans="2:8" ht="23.25">
      <c r="B13" s="107" t="s">
        <v>275</v>
      </c>
      <c r="C13" s="107"/>
      <c r="D13" s="107"/>
      <c r="E13" s="61">
        <v>110202</v>
      </c>
      <c r="F13" s="66">
        <v>0</v>
      </c>
      <c r="G13" s="147"/>
      <c r="H13" s="436"/>
    </row>
    <row r="14" spans="2:8" ht="23.25">
      <c r="B14" s="107" t="s">
        <v>274</v>
      </c>
      <c r="C14" s="107"/>
      <c r="D14" s="107"/>
      <c r="E14" s="61">
        <v>110202</v>
      </c>
      <c r="F14" s="66">
        <v>0</v>
      </c>
      <c r="G14" s="147"/>
      <c r="H14" s="437"/>
    </row>
    <row r="15" spans="2:7" ht="23.25">
      <c r="B15" s="107" t="s">
        <v>172</v>
      </c>
      <c r="C15" s="1"/>
      <c r="D15" s="1"/>
      <c r="E15" s="61">
        <v>14000</v>
      </c>
      <c r="F15" s="66">
        <v>0</v>
      </c>
      <c r="G15" s="147"/>
    </row>
    <row r="16" spans="2:7" ht="23.25">
      <c r="B16" s="63"/>
      <c r="C16" s="63"/>
      <c r="D16" s="60"/>
      <c r="E16" s="108"/>
      <c r="F16" s="66"/>
      <c r="G16" s="147"/>
    </row>
    <row r="17" spans="2:8" ht="33.75" customHeight="1">
      <c r="B17" s="65" t="s">
        <v>3</v>
      </c>
      <c r="C17" s="63" t="s">
        <v>177</v>
      </c>
      <c r="D17" s="63"/>
      <c r="E17" s="108" t="s">
        <v>202</v>
      </c>
      <c r="F17" s="68"/>
      <c r="G17" s="149">
        <v>2863</v>
      </c>
      <c r="H17" s="436"/>
    </row>
    <row r="18" spans="2:11" ht="23.25">
      <c r="B18" s="63"/>
      <c r="C18" s="107" t="s">
        <v>8</v>
      </c>
      <c r="D18" s="60"/>
      <c r="E18" s="61">
        <v>400000</v>
      </c>
      <c r="F18" s="64"/>
      <c r="G18" s="149">
        <v>4007723.44</v>
      </c>
      <c r="H18" s="166"/>
      <c r="I18" s="67"/>
      <c r="K18" s="71"/>
    </row>
    <row r="19" spans="2:11" ht="23.25">
      <c r="B19" s="63"/>
      <c r="C19" s="107" t="s">
        <v>162</v>
      </c>
      <c r="E19" s="61">
        <v>230106</v>
      </c>
      <c r="F19" s="68"/>
      <c r="G19" s="149">
        <v>793.14</v>
      </c>
      <c r="H19" s="67"/>
      <c r="I19" s="67"/>
      <c r="K19" s="313"/>
    </row>
    <row r="20" spans="2:11" ht="23.25">
      <c r="B20" s="63"/>
      <c r="C20" s="107" t="s">
        <v>348</v>
      </c>
      <c r="E20" s="61"/>
      <c r="F20" s="68"/>
      <c r="G20" s="149">
        <v>660.95</v>
      </c>
      <c r="H20" s="67"/>
      <c r="I20" s="67"/>
      <c r="K20" s="313"/>
    </row>
    <row r="21" spans="2:11" ht="23.25">
      <c r="B21" s="63"/>
      <c r="C21" s="107" t="s">
        <v>472</v>
      </c>
      <c r="E21" s="61"/>
      <c r="F21" s="68"/>
      <c r="G21" s="149">
        <v>3600</v>
      </c>
      <c r="H21" s="67"/>
      <c r="I21" s="67"/>
      <c r="K21" s="313"/>
    </row>
    <row r="22" spans="2:11" ht="23.25">
      <c r="B22" s="63"/>
      <c r="C22" s="107" t="s">
        <v>488</v>
      </c>
      <c r="E22" s="61"/>
      <c r="F22" s="68"/>
      <c r="G22" s="149">
        <f>2100+25000</f>
        <v>27100</v>
      </c>
      <c r="H22" s="67"/>
      <c r="I22" s="67"/>
      <c r="K22" s="313"/>
    </row>
    <row r="23" spans="2:9" ht="23.25">
      <c r="B23" s="63"/>
      <c r="C23" s="50" t="s">
        <v>232</v>
      </c>
      <c r="D23" s="60"/>
      <c r="E23" s="61"/>
      <c r="F23" s="68"/>
      <c r="G23" s="149">
        <v>783.2</v>
      </c>
      <c r="H23" s="67"/>
      <c r="I23" s="67"/>
    </row>
    <row r="24" spans="2:9" ht="23.25">
      <c r="B24" s="63"/>
      <c r="C24" s="50" t="s">
        <v>231</v>
      </c>
      <c r="D24" s="60"/>
      <c r="E24" s="61"/>
      <c r="F24" s="68"/>
      <c r="G24" s="149">
        <v>0</v>
      </c>
      <c r="H24" s="67"/>
      <c r="I24" s="67"/>
    </row>
    <row r="25" spans="1:9" ht="24" customHeight="1">
      <c r="A25" s="63"/>
      <c r="B25" s="63"/>
      <c r="C25" s="63" t="s">
        <v>453</v>
      </c>
      <c r="D25" s="60"/>
      <c r="E25" s="62">
        <v>230201</v>
      </c>
      <c r="F25" s="148"/>
      <c r="G25" s="148">
        <f>2868</f>
        <v>2868</v>
      </c>
      <c r="H25" s="67"/>
      <c r="I25" s="67"/>
    </row>
    <row r="26" spans="1:9" ht="24" customHeight="1">
      <c r="A26" s="63"/>
      <c r="B26" s="63"/>
      <c r="C26" s="63" t="s">
        <v>454</v>
      </c>
      <c r="D26" s="60"/>
      <c r="E26" s="62"/>
      <c r="F26" s="148"/>
      <c r="G26" s="148">
        <f>5004</f>
        <v>5004</v>
      </c>
      <c r="H26" s="67"/>
      <c r="I26" s="67"/>
    </row>
    <row r="27" spans="1:9" ht="24" customHeight="1">
      <c r="A27" s="63"/>
      <c r="B27" s="63"/>
      <c r="D27" s="63"/>
      <c r="E27" s="61"/>
      <c r="F27" s="418"/>
      <c r="G27" s="68"/>
      <c r="H27" s="67"/>
      <c r="I27" s="67"/>
    </row>
    <row r="28" spans="1:9" ht="27.75" customHeight="1" thickBot="1">
      <c r="A28" s="63"/>
      <c r="B28" s="63"/>
      <c r="C28" s="63"/>
      <c r="D28" s="63"/>
      <c r="E28" s="317"/>
      <c r="F28" s="379">
        <f>SUM(F6:F26)</f>
        <v>4051395.73</v>
      </c>
      <c r="G28" s="316">
        <f>SUM(G17:G26)</f>
        <v>4051395.7300000004</v>
      </c>
      <c r="H28" s="67"/>
      <c r="I28" s="67"/>
    </row>
    <row r="29" spans="1:9" ht="27.75" customHeight="1" thickTop="1">
      <c r="A29" s="63"/>
      <c r="B29" s="63"/>
      <c r="C29" s="63"/>
      <c r="D29" s="63"/>
      <c r="E29" s="298"/>
      <c r="F29" s="373"/>
      <c r="G29" s="373">
        <f>F28-G28</f>
        <v>0</v>
      </c>
      <c r="H29" s="67"/>
      <c r="I29" s="67"/>
    </row>
    <row r="30" spans="1:9" ht="27.75" customHeight="1">
      <c r="A30" s="63"/>
      <c r="B30" s="63"/>
      <c r="C30" s="63"/>
      <c r="D30" s="63"/>
      <c r="E30" s="63"/>
      <c r="F30" s="373"/>
      <c r="G30" s="373"/>
      <c r="H30" s="67"/>
      <c r="I30" s="67"/>
    </row>
    <row r="31" spans="2:9" ht="30.75" customHeight="1">
      <c r="B31" s="314" t="s">
        <v>163</v>
      </c>
      <c r="C31" s="63"/>
      <c r="D31" s="71" t="s">
        <v>139</v>
      </c>
      <c r="E31" s="293"/>
      <c r="F31" s="293"/>
      <c r="G31" s="315"/>
      <c r="H31" s="67"/>
      <c r="I31" s="67"/>
    </row>
    <row r="32" spans="2:9" ht="23.25">
      <c r="B32" s="71"/>
      <c r="C32" s="297"/>
      <c r="D32" s="71"/>
      <c r="E32" s="71"/>
      <c r="F32" s="71"/>
      <c r="G32" s="71"/>
      <c r="H32" s="67"/>
      <c r="I32" s="67"/>
    </row>
    <row r="33" spans="1:7" ht="23.25">
      <c r="A33" s="288" t="s">
        <v>36</v>
      </c>
      <c r="B33" s="288"/>
      <c r="C33" s="319"/>
      <c r="D33" s="528" t="s">
        <v>37</v>
      </c>
      <c r="E33" s="533"/>
      <c r="F33" s="528" t="s">
        <v>38</v>
      </c>
      <c r="G33" s="529"/>
    </row>
    <row r="34" spans="1:7" ht="23.25">
      <c r="A34" s="52"/>
      <c r="B34" s="52"/>
      <c r="C34" s="318"/>
      <c r="D34" s="73"/>
      <c r="E34" s="52"/>
      <c r="F34" s="73"/>
      <c r="G34" s="52"/>
    </row>
    <row r="35" spans="1:7" s="63" customFormat="1" ht="45" customHeight="1">
      <c r="A35" s="69"/>
      <c r="B35" s="72"/>
      <c r="C35" s="358"/>
      <c r="D35" s="102"/>
      <c r="E35" s="72"/>
      <c r="F35" s="102"/>
      <c r="G35" s="72"/>
    </row>
    <row r="36" spans="3:7" ht="27.75" customHeight="1">
      <c r="C36" s="71"/>
      <c r="D36" s="63"/>
      <c r="F36" s="51" t="s">
        <v>486</v>
      </c>
      <c r="G36" s="145" t="s">
        <v>137</v>
      </c>
    </row>
    <row r="37" spans="2:6" ht="21.75" customHeight="1">
      <c r="B37" s="52"/>
      <c r="C37" s="71"/>
      <c r="D37" s="52"/>
      <c r="E37" s="53" t="s">
        <v>7</v>
      </c>
      <c r="F37" s="75" t="str">
        <f>F2</f>
        <v>31   พฤษภาคม   2559</v>
      </c>
    </row>
    <row r="38" spans="1:7" ht="30.75" customHeight="1">
      <c r="A38" s="530" t="s">
        <v>39</v>
      </c>
      <c r="B38" s="530"/>
      <c r="C38" s="530"/>
      <c r="D38" s="530"/>
      <c r="E38" s="530"/>
      <c r="F38" s="530"/>
      <c r="G38" s="530"/>
    </row>
    <row r="39" spans="1:7" ht="21.75" customHeight="1">
      <c r="A39" s="52" t="s">
        <v>143</v>
      </c>
      <c r="B39" s="50" t="s">
        <v>2</v>
      </c>
      <c r="C39" s="287"/>
      <c r="D39" s="55"/>
      <c r="E39" s="56"/>
      <c r="F39" s="56"/>
      <c r="G39" s="56"/>
    </row>
    <row r="40" spans="1:7" ht="25.5">
      <c r="A40" s="57"/>
      <c r="B40" s="58" t="s">
        <v>1</v>
      </c>
      <c r="C40" s="320"/>
      <c r="D40" s="289"/>
      <c r="E40" s="59" t="s">
        <v>5</v>
      </c>
      <c r="F40" s="58" t="s">
        <v>4</v>
      </c>
      <c r="G40" s="59" t="s">
        <v>3</v>
      </c>
    </row>
    <row r="41" spans="1:7" ht="28.5" customHeight="1">
      <c r="A41" s="84" t="s">
        <v>4</v>
      </c>
      <c r="B41" s="536" t="s">
        <v>473</v>
      </c>
      <c r="C41" s="536"/>
      <c r="D41" s="318"/>
      <c r="E41" s="383">
        <v>110606</v>
      </c>
      <c r="F41" s="518">
        <v>238200</v>
      </c>
      <c r="G41" s="383"/>
    </row>
    <row r="42" spans="1:7" s="76" customFormat="1" ht="21.75" customHeight="1">
      <c r="A42" s="84"/>
      <c r="B42" s="160" t="s">
        <v>142</v>
      </c>
      <c r="C42" s="84"/>
      <c r="D42" s="78"/>
      <c r="E42" s="161">
        <v>5510000</v>
      </c>
      <c r="F42" s="518">
        <v>22881</v>
      </c>
      <c r="G42" s="366"/>
    </row>
    <row r="43" spans="1:7" s="76" customFormat="1" ht="21.75" customHeight="1">
      <c r="A43" s="84"/>
      <c r="B43" s="160" t="s">
        <v>408</v>
      </c>
      <c r="C43" s="84"/>
      <c r="D43" s="78"/>
      <c r="E43" s="161"/>
      <c r="F43" s="518">
        <f>799500+180800+570</f>
        <v>980870</v>
      </c>
      <c r="G43" s="366"/>
    </row>
    <row r="44" spans="2:7" s="76" customFormat="1" ht="21.75" customHeight="1">
      <c r="B44" s="160" t="s">
        <v>276</v>
      </c>
      <c r="D44" s="78"/>
      <c r="E44" s="161">
        <v>5521000</v>
      </c>
      <c r="F44" s="518">
        <v>237950</v>
      </c>
      <c r="G44" s="366"/>
    </row>
    <row r="45" spans="2:7" s="76" customFormat="1" ht="21.75" customHeight="1">
      <c r="B45" s="160" t="s">
        <v>277</v>
      </c>
      <c r="C45" s="79"/>
      <c r="D45" s="78"/>
      <c r="E45" s="161">
        <v>55220100</v>
      </c>
      <c r="F45" s="518">
        <v>327550</v>
      </c>
      <c r="G45" s="366"/>
    </row>
    <row r="46" spans="2:7" s="76" customFormat="1" ht="21.75" customHeight="1">
      <c r="B46" s="160" t="s">
        <v>409</v>
      </c>
      <c r="C46" s="79"/>
      <c r="D46" s="78"/>
      <c r="E46" s="161"/>
      <c r="F46" s="518">
        <v>60150</v>
      </c>
      <c r="G46" s="366"/>
    </row>
    <row r="47" spans="2:7" s="76" customFormat="1" ht="21.75" customHeight="1">
      <c r="B47" s="160" t="s">
        <v>27</v>
      </c>
      <c r="C47" s="79"/>
      <c r="D47" s="78"/>
      <c r="E47" s="161">
        <v>55220400</v>
      </c>
      <c r="F47" s="518">
        <v>32140</v>
      </c>
      <c r="G47" s="366"/>
    </row>
    <row r="48" spans="2:7" s="76" customFormat="1" ht="21.75" customHeight="1">
      <c r="B48" s="160" t="s">
        <v>264</v>
      </c>
      <c r="C48" s="79"/>
      <c r="D48" s="78"/>
      <c r="E48" s="161">
        <v>55220600</v>
      </c>
      <c r="F48" s="518">
        <v>172675</v>
      </c>
      <c r="G48" s="366"/>
    </row>
    <row r="49" spans="2:7" s="76" customFormat="1" ht="21.75" customHeight="1">
      <c r="B49" s="160" t="s">
        <v>410</v>
      </c>
      <c r="C49" s="79"/>
      <c r="D49" s="78"/>
      <c r="E49" s="161"/>
      <c r="F49" s="518">
        <v>11400</v>
      </c>
      <c r="G49" s="366"/>
    </row>
    <row r="50" spans="2:7" s="76" customFormat="1" ht="21.75" customHeight="1">
      <c r="B50" s="160" t="s">
        <v>28</v>
      </c>
      <c r="C50" s="79"/>
      <c r="D50" s="78"/>
      <c r="E50" s="161">
        <v>5310000</v>
      </c>
      <c r="F50" s="518">
        <v>7000</v>
      </c>
      <c r="G50" s="366"/>
    </row>
    <row r="51" spans="2:7" s="76" customFormat="1" ht="21.75" customHeight="1">
      <c r="B51" s="160" t="s">
        <v>29</v>
      </c>
      <c r="C51" s="79"/>
      <c r="D51" s="78"/>
      <c r="E51" s="161">
        <v>5532000</v>
      </c>
      <c r="F51" s="518">
        <v>298672</v>
      </c>
      <c r="G51" s="366"/>
    </row>
    <row r="52" spans="2:11" s="76" customFormat="1" ht="21.75" customHeight="1">
      <c r="B52" s="160" t="s">
        <v>30</v>
      </c>
      <c r="C52" s="79"/>
      <c r="D52" s="78"/>
      <c r="E52" s="161">
        <v>5533000</v>
      </c>
      <c r="F52" s="518">
        <v>45916.67</v>
      </c>
      <c r="G52" s="366"/>
      <c r="H52" s="80">
        <f>F42+F44+F45+F47+F48+F50+F51+F52+F53</f>
        <v>1187926.76</v>
      </c>
      <c r="K52" s="422"/>
    </row>
    <row r="53" spans="2:11" s="76" customFormat="1" ht="21.75" customHeight="1">
      <c r="B53" s="160" t="s">
        <v>31</v>
      </c>
      <c r="C53" s="79"/>
      <c r="D53" s="78"/>
      <c r="E53" s="161"/>
      <c r="F53" s="518">
        <v>43142.09</v>
      </c>
      <c r="G53" s="366"/>
      <c r="K53" s="422"/>
    </row>
    <row r="54" spans="2:11" s="76" customFormat="1" ht="21.75" customHeight="1">
      <c r="B54" s="160" t="s">
        <v>127</v>
      </c>
      <c r="C54" s="79"/>
      <c r="D54" s="78"/>
      <c r="E54" s="161"/>
      <c r="F54" s="518">
        <v>19430</v>
      </c>
      <c r="G54" s="366"/>
      <c r="K54" s="422"/>
    </row>
    <row r="55" spans="2:11" s="76" customFormat="1" ht="21.75" customHeight="1">
      <c r="B55" s="160" t="s">
        <v>458</v>
      </c>
      <c r="C55" s="79"/>
      <c r="D55" s="78"/>
      <c r="E55" s="161">
        <v>5534000</v>
      </c>
      <c r="F55" s="518">
        <f>484000+304000+150000</f>
        <v>938000</v>
      </c>
      <c r="G55" s="366"/>
      <c r="J55" s="422"/>
      <c r="K55" s="422"/>
    </row>
    <row r="56" spans="1:7" s="76" customFormat="1" ht="21.75" customHeight="1">
      <c r="A56" s="292"/>
      <c r="B56" s="160" t="s">
        <v>151</v>
      </c>
      <c r="C56" s="79"/>
      <c r="D56" s="78"/>
      <c r="E56" s="161">
        <v>230102</v>
      </c>
      <c r="F56" s="518">
        <f>5470.5+2082.8</f>
        <v>7553.3</v>
      </c>
      <c r="G56" s="366"/>
    </row>
    <row r="57" spans="1:7" s="76" customFormat="1" ht="21.75" customHeight="1">
      <c r="A57" s="292"/>
      <c r="B57" s="160" t="s">
        <v>249</v>
      </c>
      <c r="C57" s="79"/>
      <c r="D57" s="78"/>
      <c r="E57" s="161"/>
      <c r="F57" s="518">
        <f>18400+6000+3600</f>
        <v>28000</v>
      </c>
      <c r="G57" s="366"/>
    </row>
    <row r="58" spans="1:8" s="76" customFormat="1" ht="21.75" customHeight="1">
      <c r="A58" s="292"/>
      <c r="B58" s="160" t="s">
        <v>343</v>
      </c>
      <c r="C58" s="79"/>
      <c r="D58" s="78"/>
      <c r="E58" s="161"/>
      <c r="F58" s="518">
        <v>11591</v>
      </c>
      <c r="G58" s="366"/>
      <c r="H58" s="80" t="e">
        <f>F58+F59+#REF!+F57+F56</f>
        <v>#REF!</v>
      </c>
    </row>
    <row r="59" spans="1:7" s="76" customFormat="1" ht="21.75" customHeight="1">
      <c r="A59" s="292"/>
      <c r="B59" s="79" t="s">
        <v>356</v>
      </c>
      <c r="D59" s="79"/>
      <c r="E59" s="161"/>
      <c r="F59" s="518">
        <f>30000+480+1800+4000</f>
        <v>36280</v>
      </c>
      <c r="G59" s="366"/>
    </row>
    <row r="60" spans="1:7" s="76" customFormat="1" ht="21.75" customHeight="1">
      <c r="A60" s="292"/>
      <c r="B60" s="79" t="s">
        <v>489</v>
      </c>
      <c r="D60" s="79"/>
      <c r="E60" s="161"/>
      <c r="F60" s="518">
        <v>13065.3</v>
      </c>
      <c r="G60" s="366"/>
    </row>
    <row r="61" spans="2:8" s="76" customFormat="1" ht="21.75" customHeight="1">
      <c r="B61" s="162" t="s">
        <v>3</v>
      </c>
      <c r="C61" s="155" t="s">
        <v>153</v>
      </c>
      <c r="D61" s="79"/>
      <c r="E61" s="101" t="s">
        <v>201</v>
      </c>
      <c r="F61" s="163"/>
      <c r="G61" s="367">
        <v>475029.52</v>
      </c>
      <c r="H61" s="460">
        <f>G61+G62</f>
        <v>3499732.8</v>
      </c>
    </row>
    <row r="62" spans="2:7" s="76" customFormat="1" ht="21.75" customHeight="1">
      <c r="B62" s="162"/>
      <c r="C62" s="155" t="s">
        <v>152</v>
      </c>
      <c r="D62" s="79"/>
      <c r="E62" s="101" t="s">
        <v>201</v>
      </c>
      <c r="F62" s="163"/>
      <c r="G62" s="367">
        <v>3024703.28</v>
      </c>
    </row>
    <row r="63" spans="2:7" s="76" customFormat="1" ht="21.75" customHeight="1">
      <c r="B63" s="162"/>
      <c r="C63" s="155" t="s">
        <v>490</v>
      </c>
      <c r="D63" s="79"/>
      <c r="E63" s="101"/>
      <c r="F63" s="163"/>
      <c r="G63" s="367">
        <v>8554</v>
      </c>
    </row>
    <row r="64" spans="2:7" s="76" customFormat="1" ht="21.75" customHeight="1">
      <c r="B64" s="79"/>
      <c r="C64" s="155" t="s">
        <v>149</v>
      </c>
      <c r="D64" s="79"/>
      <c r="E64" s="101" t="s">
        <v>198</v>
      </c>
      <c r="F64" s="78"/>
      <c r="G64" s="367">
        <v>12432.56</v>
      </c>
    </row>
    <row r="65" spans="2:11" s="76" customFormat="1" ht="21.75" customHeight="1">
      <c r="B65" s="79"/>
      <c r="C65" s="155" t="s">
        <v>331</v>
      </c>
      <c r="D65" s="79"/>
      <c r="E65" s="101"/>
      <c r="F65" s="78"/>
      <c r="G65" s="367">
        <v>11747</v>
      </c>
      <c r="I65" s="76">
        <v>0</v>
      </c>
      <c r="J65" s="76">
        <v>550</v>
      </c>
      <c r="K65" s="460">
        <f>G65+J65</f>
        <v>12297</v>
      </c>
    </row>
    <row r="66" spans="2:7" s="76" customFormat="1" ht="21.75" customHeight="1">
      <c r="B66" s="79"/>
      <c r="C66" s="155"/>
      <c r="D66" s="79"/>
      <c r="E66" s="101"/>
      <c r="F66" s="78"/>
      <c r="G66" s="367"/>
    </row>
    <row r="67" spans="1:7" s="76" customFormat="1" ht="22.5" customHeight="1">
      <c r="A67" s="81"/>
      <c r="B67" s="81"/>
      <c r="C67" s="155"/>
      <c r="E67" s="82"/>
      <c r="F67" s="164">
        <f>SUM(F41:F65)</f>
        <v>3532466.3599999994</v>
      </c>
      <c r="G67" s="368">
        <f>SUM(G61:G66)</f>
        <v>3532466.36</v>
      </c>
    </row>
    <row r="68" spans="2:7" ht="24.75" customHeight="1">
      <c r="B68" s="70" t="s">
        <v>144</v>
      </c>
      <c r="C68" s="321"/>
      <c r="D68" s="157" t="s">
        <v>171</v>
      </c>
      <c r="E68" s="70"/>
      <c r="F68" s="70"/>
      <c r="G68" s="109">
        <f>F67-G67</f>
        <v>0</v>
      </c>
    </row>
    <row r="69" spans="2:8" ht="24.75" customHeight="1">
      <c r="B69" s="293"/>
      <c r="C69" s="359"/>
      <c r="D69" s="51"/>
      <c r="E69" s="293"/>
      <c r="F69" s="293"/>
      <c r="G69" s="360"/>
      <c r="H69" s="437">
        <v>3458288.62</v>
      </c>
    </row>
    <row r="70" spans="1:8" ht="34.5" customHeight="1">
      <c r="A70" s="288" t="s">
        <v>36</v>
      </c>
      <c r="B70" s="288"/>
      <c r="C70" s="380"/>
      <c r="D70" s="510" t="s">
        <v>37</v>
      </c>
      <c r="E70" s="511"/>
      <c r="F70" s="528" t="s">
        <v>38</v>
      </c>
      <c r="G70" s="529"/>
      <c r="H70" s="423">
        <f>F67-H69</f>
        <v>74177.73999999929</v>
      </c>
    </row>
    <row r="71" spans="1:7" ht="42.75" customHeight="1">
      <c r="A71" s="358"/>
      <c r="B71" s="358"/>
      <c r="C71" s="397"/>
      <c r="D71" s="398"/>
      <c r="E71" s="358"/>
      <c r="F71" s="398"/>
      <c r="G71" s="358"/>
    </row>
    <row r="72" spans="3:7" ht="28.5" customHeight="1">
      <c r="C72" s="71"/>
      <c r="F72" s="51" t="s">
        <v>487</v>
      </c>
      <c r="G72" s="145" t="s">
        <v>138</v>
      </c>
    </row>
    <row r="73" spans="2:7" ht="27.75" customHeight="1">
      <c r="B73" s="52"/>
      <c r="C73" s="71"/>
      <c r="D73" s="52"/>
      <c r="E73" s="52"/>
      <c r="F73" s="110" t="str">
        <f>F2</f>
        <v>31   พฤษภาคม   2559</v>
      </c>
      <c r="G73" s="150"/>
    </row>
    <row r="74" spans="1:7" ht="22.5" customHeight="1">
      <c r="A74" s="287" t="s">
        <v>39</v>
      </c>
      <c r="B74" s="287"/>
      <c r="C74" s="287"/>
      <c r="D74" s="287"/>
      <c r="E74" s="287"/>
      <c r="F74" s="287"/>
      <c r="G74" s="287"/>
    </row>
    <row r="75" spans="1:7" ht="22.5" customHeight="1">
      <c r="A75" s="52" t="s">
        <v>143</v>
      </c>
      <c r="B75" s="50" t="s">
        <v>2</v>
      </c>
      <c r="C75" s="287"/>
      <c r="D75" s="55"/>
      <c r="E75" s="56"/>
      <c r="F75" s="56"/>
      <c r="G75" s="56"/>
    </row>
    <row r="76" spans="1:7" ht="22.5" customHeight="1">
      <c r="A76" s="57"/>
      <c r="B76" s="58" t="s">
        <v>1</v>
      </c>
      <c r="C76" s="322"/>
      <c r="D76" s="289"/>
      <c r="E76" s="59" t="s">
        <v>5</v>
      </c>
      <c r="F76" s="58" t="s">
        <v>4</v>
      </c>
      <c r="G76" s="146" t="s">
        <v>3</v>
      </c>
    </row>
    <row r="77" spans="1:7" s="76" customFormat="1" ht="22.5" customHeight="1">
      <c r="A77" s="77" t="s">
        <v>4</v>
      </c>
      <c r="B77" s="76" t="s">
        <v>8</v>
      </c>
      <c r="C77" s="298"/>
      <c r="D77" s="78"/>
      <c r="E77" s="154" t="s">
        <v>203</v>
      </c>
      <c r="F77" s="158">
        <v>4016277.44</v>
      </c>
      <c r="G77" s="159"/>
    </row>
    <row r="78" spans="2:8" s="76" customFormat="1" ht="22.5" customHeight="1">
      <c r="B78" s="77" t="s">
        <v>3</v>
      </c>
      <c r="C78" s="71"/>
      <c r="D78" s="78"/>
      <c r="E78" s="154"/>
      <c r="F78" s="152"/>
      <c r="G78" s="152">
        <v>0</v>
      </c>
      <c r="H78" s="80"/>
    </row>
    <row r="79" spans="2:7" s="76" customFormat="1" ht="22.5" customHeight="1">
      <c r="B79" s="79"/>
      <c r="C79" s="79" t="s">
        <v>63</v>
      </c>
      <c r="D79" s="78"/>
      <c r="E79" s="154" t="s">
        <v>186</v>
      </c>
      <c r="F79" s="151"/>
      <c r="G79" s="152">
        <v>44630</v>
      </c>
    </row>
    <row r="80" spans="2:7" s="76" customFormat="1" ht="22.5" customHeight="1">
      <c r="B80" s="79"/>
      <c r="C80" s="79" t="s">
        <v>64</v>
      </c>
      <c r="D80" s="78"/>
      <c r="E80" s="154" t="s">
        <v>187</v>
      </c>
      <c r="F80" s="151"/>
      <c r="G80" s="152">
        <v>10981.71</v>
      </c>
    </row>
    <row r="81" spans="2:7" s="76" customFormat="1" ht="22.5" customHeight="1">
      <c r="B81" s="79"/>
      <c r="C81" s="79" t="s">
        <v>65</v>
      </c>
      <c r="D81" s="78"/>
      <c r="E81" s="154" t="s">
        <v>188</v>
      </c>
      <c r="F81" s="151"/>
      <c r="G81" s="152">
        <v>801</v>
      </c>
    </row>
    <row r="82" spans="2:7" s="76" customFormat="1" ht="22.5" customHeight="1">
      <c r="B82" s="79"/>
      <c r="C82" s="79" t="s">
        <v>361</v>
      </c>
      <c r="D82" s="78"/>
      <c r="E82" s="154"/>
      <c r="F82" s="151"/>
      <c r="G82" s="152">
        <v>0</v>
      </c>
    </row>
    <row r="83" spans="2:7" s="76" customFormat="1" ht="22.5" customHeight="1">
      <c r="B83" s="79"/>
      <c r="C83" s="79" t="s">
        <v>147</v>
      </c>
      <c r="D83" s="286"/>
      <c r="E83" s="154" t="s">
        <v>241</v>
      </c>
      <c r="F83" s="151"/>
      <c r="G83" s="152">
        <v>1514479.85</v>
      </c>
    </row>
    <row r="84" spans="2:7" s="76" customFormat="1" ht="22.5" customHeight="1">
      <c r="B84" s="79"/>
      <c r="C84" s="291" t="s">
        <v>164</v>
      </c>
      <c r="D84" s="78"/>
      <c r="E84" s="154" t="s">
        <v>189</v>
      </c>
      <c r="F84" s="151"/>
      <c r="G84" s="152">
        <v>472193.42</v>
      </c>
    </row>
    <row r="85" spans="2:7" s="76" customFormat="1" ht="22.5" customHeight="1">
      <c r="B85" s="79"/>
      <c r="C85" s="79" t="s">
        <v>57</v>
      </c>
      <c r="D85" s="78"/>
      <c r="E85" s="154" t="s">
        <v>242</v>
      </c>
      <c r="F85" s="151"/>
      <c r="G85" s="152">
        <v>35620.03</v>
      </c>
    </row>
    <row r="86" spans="2:7" s="76" customFormat="1" ht="22.5" customHeight="1">
      <c r="B86" s="79"/>
      <c r="C86" s="79" t="s">
        <v>58</v>
      </c>
      <c r="D86" s="78"/>
      <c r="E86" s="154" t="s">
        <v>190</v>
      </c>
      <c r="F86" s="151"/>
      <c r="G86" s="152">
        <v>267656.19</v>
      </c>
    </row>
    <row r="87" spans="2:7" s="76" customFormat="1" ht="22.5" customHeight="1">
      <c r="B87" s="79"/>
      <c r="C87" s="79" t="s">
        <v>59</v>
      </c>
      <c r="D87" s="78"/>
      <c r="E87" s="154" t="s">
        <v>191</v>
      </c>
      <c r="F87" s="151"/>
      <c r="G87" s="152">
        <v>412892.84</v>
      </c>
    </row>
    <row r="88" spans="2:7" s="76" customFormat="1" ht="22.5" customHeight="1">
      <c r="B88" s="79"/>
      <c r="C88" s="79" t="s">
        <v>298</v>
      </c>
      <c r="D88" s="78"/>
      <c r="E88" s="154" t="s">
        <v>299</v>
      </c>
      <c r="F88" s="151"/>
      <c r="G88" s="152"/>
    </row>
    <row r="89" spans="2:7" s="76" customFormat="1" ht="22.5" customHeight="1">
      <c r="B89" s="79"/>
      <c r="C89" s="79" t="s">
        <v>60</v>
      </c>
      <c r="D89" s="78"/>
      <c r="E89" s="154" t="s">
        <v>243</v>
      </c>
      <c r="F89" s="151"/>
      <c r="G89" s="152">
        <v>13351.35</v>
      </c>
    </row>
    <row r="90" spans="2:7" s="76" customFormat="1" ht="22.5" customHeight="1">
      <c r="B90" s="79"/>
      <c r="C90" s="79" t="s">
        <v>62</v>
      </c>
      <c r="D90" s="78"/>
      <c r="E90" s="154" t="s">
        <v>192</v>
      </c>
      <c r="F90" s="151"/>
      <c r="G90" s="152">
        <v>15115.05</v>
      </c>
    </row>
    <row r="91" spans="2:7" s="76" customFormat="1" ht="22.5" customHeight="1">
      <c r="B91" s="79"/>
      <c r="C91" s="79" t="s">
        <v>61</v>
      </c>
      <c r="D91" s="78"/>
      <c r="E91" s="154" t="s">
        <v>193</v>
      </c>
      <c r="F91" s="151"/>
      <c r="G91" s="152">
        <v>284034</v>
      </c>
    </row>
    <row r="92" spans="2:7" s="76" customFormat="1" ht="22.5" customHeight="1">
      <c r="B92" s="79"/>
      <c r="C92" s="79" t="s">
        <v>145</v>
      </c>
      <c r="D92" s="78"/>
      <c r="E92" s="154" t="s">
        <v>185</v>
      </c>
      <c r="F92" s="151"/>
      <c r="G92" s="152">
        <v>8554</v>
      </c>
    </row>
    <row r="93" spans="2:7" s="76" customFormat="1" ht="22.5" customHeight="1">
      <c r="B93" s="79"/>
      <c r="C93" s="79" t="s">
        <v>165</v>
      </c>
      <c r="D93" s="78"/>
      <c r="E93" s="154" t="s">
        <v>244</v>
      </c>
      <c r="F93" s="151"/>
      <c r="G93" s="152">
        <v>300</v>
      </c>
    </row>
    <row r="94" spans="2:7" s="76" customFormat="1" ht="22.5" customHeight="1">
      <c r="B94" s="79"/>
      <c r="C94" s="79" t="s">
        <v>166</v>
      </c>
      <c r="D94" s="78"/>
      <c r="E94" s="154" t="s">
        <v>194</v>
      </c>
      <c r="F94" s="151"/>
      <c r="G94" s="152">
        <v>12000</v>
      </c>
    </row>
    <row r="95" spans="2:7" s="76" customFormat="1" ht="22.5" customHeight="1">
      <c r="B95" s="79"/>
      <c r="C95" s="79" t="s">
        <v>339</v>
      </c>
      <c r="D95" s="78"/>
      <c r="E95" s="154"/>
      <c r="F95" s="151"/>
      <c r="G95" s="152">
        <v>33908</v>
      </c>
    </row>
    <row r="96" spans="2:7" s="76" customFormat="1" ht="22.5" customHeight="1">
      <c r="B96" s="79"/>
      <c r="C96" s="79" t="s">
        <v>247</v>
      </c>
      <c r="D96" s="78"/>
      <c r="E96" s="154" t="s">
        <v>248</v>
      </c>
      <c r="F96" s="151"/>
      <c r="G96" s="152">
        <v>150</v>
      </c>
    </row>
    <row r="97" spans="2:7" s="76" customFormat="1" ht="22.5" customHeight="1">
      <c r="B97" s="79"/>
      <c r="C97" s="79" t="s">
        <v>167</v>
      </c>
      <c r="D97" s="78"/>
      <c r="E97" s="154" t="s">
        <v>195</v>
      </c>
      <c r="F97" s="151"/>
      <c r="G97" s="152">
        <v>0</v>
      </c>
    </row>
    <row r="98" spans="2:7" s="76" customFormat="1" ht="22.5" customHeight="1">
      <c r="B98" s="79"/>
      <c r="C98" s="79" t="s">
        <v>89</v>
      </c>
      <c r="D98" s="78"/>
      <c r="E98" s="154" t="s">
        <v>196</v>
      </c>
      <c r="F98" s="79"/>
      <c r="G98" s="152">
        <v>0</v>
      </c>
    </row>
    <row r="99" spans="2:7" s="76" customFormat="1" ht="22.5" customHeight="1">
      <c r="B99" s="79"/>
      <c r="C99" s="79" t="s">
        <v>72</v>
      </c>
      <c r="D99" s="79"/>
      <c r="E99" s="154" t="s">
        <v>214</v>
      </c>
      <c r="F99" s="79"/>
      <c r="G99" s="152">
        <v>0</v>
      </c>
    </row>
    <row r="100" spans="2:7" s="76" customFormat="1" ht="22.5" customHeight="1">
      <c r="B100" s="79"/>
      <c r="C100" s="79" t="s">
        <v>379</v>
      </c>
      <c r="D100" s="79"/>
      <c r="E100" s="154"/>
      <c r="F100" s="79"/>
      <c r="G100" s="152">
        <v>0</v>
      </c>
    </row>
    <row r="101" spans="2:7" s="76" customFormat="1" ht="22.5" customHeight="1">
      <c r="B101" s="79"/>
      <c r="C101" s="79" t="s">
        <v>380</v>
      </c>
      <c r="D101" s="79"/>
      <c r="E101" s="154"/>
      <c r="F101" s="79"/>
      <c r="G101" s="152">
        <v>0</v>
      </c>
    </row>
    <row r="102" spans="2:7" s="76" customFormat="1" ht="22.5" customHeight="1">
      <c r="B102" s="79"/>
      <c r="C102" s="79" t="s">
        <v>381</v>
      </c>
      <c r="D102" s="79"/>
      <c r="E102" s="154"/>
      <c r="F102" s="79"/>
      <c r="G102" s="152">
        <v>0</v>
      </c>
    </row>
    <row r="103" spans="2:7" s="76" customFormat="1" ht="22.5" customHeight="1">
      <c r="B103" s="79"/>
      <c r="C103" s="79" t="s">
        <v>382</v>
      </c>
      <c r="D103" s="79"/>
      <c r="E103" s="154"/>
      <c r="F103" s="79"/>
      <c r="G103" s="152">
        <v>0</v>
      </c>
    </row>
    <row r="104" spans="2:7" s="76" customFormat="1" ht="22.5" customHeight="1">
      <c r="B104" s="79"/>
      <c r="C104" s="79" t="s">
        <v>383</v>
      </c>
      <c r="D104" s="79"/>
      <c r="E104" s="154"/>
      <c r="F104" s="79"/>
      <c r="G104" s="152">
        <v>0</v>
      </c>
    </row>
    <row r="105" spans="2:7" s="76" customFormat="1" ht="22.5" customHeight="1">
      <c r="B105" s="79"/>
      <c r="C105" s="79" t="s">
        <v>180</v>
      </c>
      <c r="D105" s="79"/>
      <c r="E105" s="154" t="s">
        <v>197</v>
      </c>
      <c r="F105" s="79"/>
      <c r="G105" s="152">
        <v>1010</v>
      </c>
    </row>
    <row r="106" spans="1:8" s="76" customFormat="1" ht="22.5" customHeight="1">
      <c r="A106" s="76" t="s">
        <v>286</v>
      </c>
      <c r="B106" s="79"/>
      <c r="C106" s="79" t="s">
        <v>72</v>
      </c>
      <c r="D106" s="79"/>
      <c r="E106" s="154"/>
      <c r="F106" s="79"/>
      <c r="G106" s="152">
        <v>0</v>
      </c>
      <c r="H106" s="80"/>
    </row>
    <row r="107" spans="1:7" s="76" customFormat="1" ht="22.5" customHeight="1">
      <c r="A107" s="442" t="s">
        <v>286</v>
      </c>
      <c r="B107" s="76" t="s">
        <v>283</v>
      </c>
      <c r="C107" s="79" t="s">
        <v>72</v>
      </c>
      <c r="D107" s="79"/>
      <c r="E107" s="154" t="s">
        <v>282</v>
      </c>
      <c r="F107" s="79"/>
      <c r="G107" s="152">
        <v>0</v>
      </c>
    </row>
    <row r="108" spans="1:8" s="76" customFormat="1" ht="22.5" customHeight="1">
      <c r="A108" s="76" t="s">
        <v>285</v>
      </c>
      <c r="B108" s="79"/>
      <c r="C108" s="79" t="s">
        <v>72</v>
      </c>
      <c r="D108" s="79"/>
      <c r="E108" s="154" t="s">
        <v>281</v>
      </c>
      <c r="F108" s="79"/>
      <c r="G108" s="152">
        <v>0</v>
      </c>
      <c r="H108" s="80">
        <f>SUM(G87:G108)</f>
        <v>781315.24</v>
      </c>
    </row>
    <row r="109" spans="1:8" s="76" customFormat="1" ht="22.5" customHeight="1">
      <c r="A109" s="76" t="s">
        <v>384</v>
      </c>
      <c r="B109" s="79"/>
      <c r="C109" s="79" t="s">
        <v>72</v>
      </c>
      <c r="D109" s="79"/>
      <c r="E109" s="154"/>
      <c r="F109" s="79"/>
      <c r="G109" s="152">
        <v>0</v>
      </c>
      <c r="H109" s="80"/>
    </row>
    <row r="110" spans="1:7" s="76" customFormat="1" ht="22.5" customHeight="1">
      <c r="A110" s="76" t="s">
        <v>251</v>
      </c>
      <c r="B110" s="79"/>
      <c r="C110" s="79" t="s">
        <v>72</v>
      </c>
      <c r="D110" s="79"/>
      <c r="E110" s="154" t="s">
        <v>250</v>
      </c>
      <c r="F110" s="79"/>
      <c r="G110" s="152">
        <v>783000</v>
      </c>
    </row>
    <row r="111" spans="1:7" s="76" customFormat="1" ht="22.5" customHeight="1">
      <c r="A111" s="76" t="s">
        <v>278</v>
      </c>
      <c r="B111" s="79"/>
      <c r="C111" s="79" t="s">
        <v>72</v>
      </c>
      <c r="D111" s="79"/>
      <c r="E111" s="154" t="s">
        <v>254</v>
      </c>
      <c r="F111" s="79"/>
      <c r="G111" s="152">
        <v>105600</v>
      </c>
    </row>
    <row r="112" spans="2:7" s="76" customFormat="1" ht="22.5" customHeight="1">
      <c r="B112" s="79" t="s">
        <v>455</v>
      </c>
      <c r="C112" s="79" t="s">
        <v>457</v>
      </c>
      <c r="D112" s="79"/>
      <c r="E112" s="154"/>
      <c r="F112" s="79"/>
      <c r="G112" s="152">
        <v>0</v>
      </c>
    </row>
    <row r="113" spans="1:8" s="76" customFormat="1" ht="22.5" customHeight="1">
      <c r="A113" s="81"/>
      <c r="B113" s="81"/>
      <c r="C113" s="79"/>
      <c r="E113" s="415"/>
      <c r="F113" s="414">
        <f>F77</f>
        <v>4016277.44</v>
      </c>
      <c r="G113" s="153">
        <f>SUM(G79:G112)</f>
        <v>4016277.44</v>
      </c>
      <c r="H113" s="165"/>
    </row>
    <row r="114" spans="1:7" s="76" customFormat="1" ht="22.5" customHeight="1">
      <c r="A114" s="294"/>
      <c r="B114" s="83" t="s">
        <v>146</v>
      </c>
      <c r="C114" s="294"/>
      <c r="D114" s="156" t="s">
        <v>131</v>
      </c>
      <c r="E114" s="83"/>
      <c r="F114" s="83"/>
      <c r="G114" s="83"/>
    </row>
    <row r="115" spans="2:7" s="76" customFormat="1" ht="22.5" customHeight="1">
      <c r="B115" s="296"/>
      <c r="C115" s="79"/>
      <c r="D115" s="84"/>
      <c r="E115" s="296"/>
      <c r="F115" s="296"/>
      <c r="G115" s="361">
        <f>G113-F113</f>
        <v>0</v>
      </c>
    </row>
    <row r="116" spans="1:7" s="76" customFormat="1" ht="21.75">
      <c r="A116" s="290" t="s">
        <v>36</v>
      </c>
      <c r="B116" s="290"/>
      <c r="C116" s="323"/>
      <c r="D116" s="290" t="s">
        <v>37</v>
      </c>
      <c r="E116" s="512"/>
      <c r="F116" s="534" t="s">
        <v>38</v>
      </c>
      <c r="G116" s="535"/>
    </row>
    <row r="117" spans="1:7" s="76" customFormat="1" ht="21.75">
      <c r="A117" s="77"/>
      <c r="B117" s="77"/>
      <c r="C117" s="86"/>
      <c r="D117" s="77"/>
      <c r="E117" s="77"/>
      <c r="F117" s="87"/>
      <c r="G117" s="77"/>
    </row>
    <row r="118" spans="1:7" s="76" customFormat="1" ht="21.75">
      <c r="A118" s="79"/>
      <c r="B118" s="84"/>
      <c r="C118" s="295"/>
      <c r="D118" s="88"/>
      <c r="E118" s="84"/>
      <c r="F118" s="88"/>
      <c r="G118" s="84"/>
    </row>
    <row r="119" spans="1:7" s="76" customFormat="1" ht="21.75">
      <c r="A119" s="81"/>
      <c r="B119" s="85"/>
      <c r="C119" s="299"/>
      <c r="D119" s="89"/>
      <c r="E119" s="85"/>
      <c r="F119" s="89"/>
      <c r="G119" s="85"/>
    </row>
    <row r="124" spans="1:7" s="76" customFormat="1" ht="22.5" customHeight="1">
      <c r="A124" s="76" t="s">
        <v>251</v>
      </c>
      <c r="B124" s="79"/>
      <c r="C124" s="79" t="s">
        <v>175</v>
      </c>
      <c r="D124" s="79"/>
      <c r="E124" s="154" t="s">
        <v>250</v>
      </c>
      <c r="F124" s="79"/>
      <c r="G124" s="152">
        <v>0</v>
      </c>
    </row>
    <row r="125" spans="1:7" s="76" customFormat="1" ht="22.5" customHeight="1">
      <c r="A125" s="76" t="s">
        <v>278</v>
      </c>
      <c r="B125" s="79"/>
      <c r="C125" s="79" t="s">
        <v>175</v>
      </c>
      <c r="D125" s="79"/>
      <c r="E125" s="154" t="s">
        <v>254</v>
      </c>
      <c r="F125" s="79"/>
      <c r="G125" s="152">
        <v>0</v>
      </c>
    </row>
    <row r="126" spans="1:8" s="76" customFormat="1" ht="22.5" customHeight="1">
      <c r="A126" s="76" t="s">
        <v>285</v>
      </c>
      <c r="B126" s="79"/>
      <c r="C126" s="79" t="s">
        <v>175</v>
      </c>
      <c r="D126" s="79"/>
      <c r="E126" s="154" t="s">
        <v>281</v>
      </c>
      <c r="F126" s="79"/>
      <c r="G126" s="152">
        <v>0</v>
      </c>
      <c r="H126" s="80">
        <f>SUM(G113:G126)</f>
        <v>4016277.44</v>
      </c>
    </row>
    <row r="127" spans="1:7" s="76" customFormat="1" ht="22.5" customHeight="1">
      <c r="A127" s="430" t="s">
        <v>286</v>
      </c>
      <c r="B127" s="76" t="s">
        <v>283</v>
      </c>
      <c r="C127" s="79" t="s">
        <v>175</v>
      </c>
      <c r="D127" s="79"/>
      <c r="E127" s="154" t="s">
        <v>282</v>
      </c>
      <c r="F127" s="79"/>
      <c r="G127" s="152">
        <v>0</v>
      </c>
    </row>
    <row r="128" spans="1:7" s="76" customFormat="1" ht="22.5" customHeight="1">
      <c r="A128" s="84" t="s">
        <v>340</v>
      </c>
      <c r="B128" s="84"/>
      <c r="C128" s="79" t="s">
        <v>175</v>
      </c>
      <c r="D128" s="79"/>
      <c r="E128" s="154" t="s">
        <v>287</v>
      </c>
      <c r="F128" s="79"/>
      <c r="G128" s="152">
        <v>0</v>
      </c>
    </row>
    <row r="129" spans="2:7" s="76" customFormat="1" ht="22.5" customHeight="1">
      <c r="B129" s="79"/>
      <c r="C129" s="79" t="s">
        <v>350</v>
      </c>
      <c r="D129" s="79"/>
      <c r="E129" s="154"/>
      <c r="F129" s="79"/>
      <c r="G129" s="152">
        <v>0</v>
      </c>
    </row>
  </sheetData>
  <sheetProtection/>
  <mergeCells count="8">
    <mergeCell ref="F33:G33"/>
    <mergeCell ref="B3:F3"/>
    <mergeCell ref="B5:D5"/>
    <mergeCell ref="D33:E33"/>
    <mergeCell ref="A38:G38"/>
    <mergeCell ref="F116:G116"/>
    <mergeCell ref="F70:G70"/>
    <mergeCell ref="B41:C41"/>
  </mergeCells>
  <printOptions/>
  <pageMargins left="0.63" right="0.22" top="0.49" bottom="0.23" header="0.27" footer="0.21"/>
  <pageSetup horizontalDpi="600" verticalDpi="600" orientation="portrait" paperSize="9" scale="85" r:id="rId2"/>
  <rowBreaks count="2" manualBreakCount="2">
    <brk id="35" max="7" man="1"/>
    <brk id="7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7"/>
  <sheetViews>
    <sheetView zoomScalePageLayoutView="0" workbookViewId="0" topLeftCell="A37">
      <selection activeCell="F17" sqref="F17"/>
    </sheetView>
  </sheetViews>
  <sheetFormatPr defaultColWidth="17.140625" defaultRowHeight="21.75"/>
  <cols>
    <col min="1" max="1" width="32.00390625" style="242" customWidth="1"/>
    <col min="2" max="2" width="26.421875" style="243" customWidth="1"/>
    <col min="3" max="3" width="9.7109375" style="241" customWidth="1"/>
    <col min="4" max="4" width="20.28125" style="235" customWidth="1"/>
    <col min="5" max="5" width="20.28125" style="234" customWidth="1"/>
    <col min="6" max="6" width="20.7109375" style="236" customWidth="1"/>
    <col min="7" max="7" width="13.00390625" style="237" customWidth="1"/>
    <col min="8" max="8" width="12.00390625" style="236" customWidth="1"/>
    <col min="9" max="16384" width="17.140625" style="236" customWidth="1"/>
  </cols>
  <sheetData>
    <row r="1" spans="1:7" s="270" customFormat="1" ht="24" customHeight="1">
      <c r="A1" s="537" t="s">
        <v>66</v>
      </c>
      <c r="B1" s="537"/>
      <c r="C1" s="537"/>
      <c r="D1" s="537"/>
      <c r="E1" s="537"/>
      <c r="F1" s="271"/>
      <c r="G1" s="324"/>
    </row>
    <row r="2" spans="1:8" s="270" customFormat="1" ht="24" customHeight="1">
      <c r="A2" s="537" t="s">
        <v>67</v>
      </c>
      <c r="B2" s="537"/>
      <c r="C2" s="537"/>
      <c r="D2" s="537"/>
      <c r="E2" s="537"/>
      <c r="F2" s="271"/>
      <c r="G2" s="272"/>
      <c r="H2" s="273"/>
    </row>
    <row r="3" spans="1:8" s="269" customFormat="1" ht="24" customHeight="1" thickBot="1">
      <c r="A3" s="387"/>
      <c r="B3" s="541" t="s">
        <v>479</v>
      </c>
      <c r="C3" s="541"/>
      <c r="D3" s="387"/>
      <c r="E3" s="387"/>
      <c r="F3" s="267"/>
      <c r="G3" s="268"/>
      <c r="H3" s="274"/>
    </row>
    <row r="4" spans="1:8" s="269" customFormat="1" ht="22.5" thickTop="1">
      <c r="A4" s="228" t="s">
        <v>1</v>
      </c>
      <c r="B4" s="228"/>
      <c r="C4" s="229" t="s">
        <v>5</v>
      </c>
      <c r="D4" s="230" t="s">
        <v>4</v>
      </c>
      <c r="E4" s="231" t="s">
        <v>3</v>
      </c>
      <c r="F4" s="275"/>
      <c r="H4" s="276"/>
    </row>
    <row r="5" spans="1:8" s="269" customFormat="1" ht="21.75">
      <c r="A5" s="232" t="s">
        <v>176</v>
      </c>
      <c r="B5" s="381"/>
      <c r="C5" s="325" t="s">
        <v>334</v>
      </c>
      <c r="D5" s="406">
        <v>0</v>
      </c>
      <c r="E5" s="326"/>
      <c r="F5" s="275"/>
      <c r="H5" s="276"/>
    </row>
    <row r="6" spans="1:8" s="269" customFormat="1" ht="21.75">
      <c r="A6" s="232" t="s">
        <v>68</v>
      </c>
      <c r="B6" s="232"/>
      <c r="C6" s="233" t="s">
        <v>205</v>
      </c>
      <c r="D6" s="408">
        <v>13186999.59</v>
      </c>
      <c r="E6" s="326"/>
      <c r="F6" s="275">
        <f>SUM(D6:D11)</f>
        <v>40918084.050000004</v>
      </c>
      <c r="H6" s="276"/>
    </row>
    <row r="7" spans="1:8" s="269" customFormat="1" ht="21.75">
      <c r="A7" s="232" t="s">
        <v>69</v>
      </c>
      <c r="B7" s="232"/>
      <c r="C7" s="233" t="s">
        <v>205</v>
      </c>
      <c r="D7" s="408">
        <v>5793578.39</v>
      </c>
      <c r="E7" s="326"/>
      <c r="F7" s="275"/>
      <c r="H7" s="276"/>
    </row>
    <row r="8" spans="1:8" s="269" customFormat="1" ht="21.75">
      <c r="A8" s="232" t="s">
        <v>70</v>
      </c>
      <c r="B8" s="232"/>
      <c r="C8" s="233" t="s">
        <v>205</v>
      </c>
      <c r="D8" s="408">
        <v>1277443.55</v>
      </c>
      <c r="E8" s="326"/>
      <c r="F8" s="275"/>
      <c r="H8" s="276"/>
    </row>
    <row r="9" spans="1:8" s="269" customFormat="1" ht="21.75">
      <c r="A9" s="232" t="s">
        <v>235</v>
      </c>
      <c r="B9" s="232"/>
      <c r="C9" s="233" t="s">
        <v>206</v>
      </c>
      <c r="D9" s="408">
        <v>10326253.32</v>
      </c>
      <c r="E9" s="326"/>
      <c r="F9" s="275"/>
      <c r="H9" s="276"/>
    </row>
    <row r="10" spans="1:8" s="269" customFormat="1" ht="21.75">
      <c r="A10" s="232" t="s">
        <v>279</v>
      </c>
      <c r="B10" s="232"/>
      <c r="C10" s="233" t="s">
        <v>206</v>
      </c>
      <c r="D10" s="408">
        <v>7333809.2</v>
      </c>
      <c r="E10" s="326"/>
      <c r="F10" s="275"/>
      <c r="H10" s="276"/>
    </row>
    <row r="11" spans="1:8" s="269" customFormat="1" ht="21.75">
      <c r="A11" s="232" t="s">
        <v>411</v>
      </c>
      <c r="B11" s="232"/>
      <c r="C11" s="233" t="s">
        <v>206</v>
      </c>
      <c r="D11" s="408">
        <v>3000000</v>
      </c>
      <c r="E11" s="326"/>
      <c r="F11" s="275"/>
      <c r="H11" s="276"/>
    </row>
    <row r="12" spans="1:8" s="269" customFormat="1" ht="21.75">
      <c r="A12" s="232" t="s">
        <v>259</v>
      </c>
      <c r="B12" s="232"/>
      <c r="C12" s="325"/>
      <c r="D12" s="406">
        <v>0</v>
      </c>
      <c r="E12" s="326"/>
      <c r="F12" s="275"/>
      <c r="H12" s="276"/>
    </row>
    <row r="13" spans="1:8" s="269" customFormat="1" ht="21.75">
      <c r="A13" s="232" t="s">
        <v>258</v>
      </c>
      <c r="B13" s="232"/>
      <c r="C13" s="325"/>
      <c r="D13" s="406">
        <v>0</v>
      </c>
      <c r="E13" s="326"/>
      <c r="F13" s="275"/>
      <c r="H13" s="276"/>
    </row>
    <row r="14" spans="1:8" s="269" customFormat="1" ht="21.75">
      <c r="A14" s="232" t="s">
        <v>260</v>
      </c>
      <c r="B14" s="232"/>
      <c r="C14" s="233"/>
      <c r="D14" s="408">
        <v>0</v>
      </c>
      <c r="E14" s="326"/>
      <c r="F14" s="275"/>
      <c r="H14" s="276"/>
    </row>
    <row r="15" spans="1:8" s="269" customFormat="1" ht="21.75">
      <c r="A15" s="232" t="s">
        <v>460</v>
      </c>
      <c r="B15" s="232"/>
      <c r="C15" s="233"/>
      <c r="D15" s="408">
        <v>0</v>
      </c>
      <c r="E15" s="326"/>
      <c r="F15" s="275"/>
      <c r="H15" s="276"/>
    </row>
    <row r="16" spans="1:7" ht="18.75">
      <c r="A16" s="232" t="s">
        <v>236</v>
      </c>
      <c r="B16" s="232"/>
      <c r="C16" s="233" t="s">
        <v>126</v>
      </c>
      <c r="D16" s="411">
        <v>81818</v>
      </c>
      <c r="E16" s="409"/>
      <c r="F16" s="338">
        <f>D16+D17+D18</f>
        <v>248047.94</v>
      </c>
      <c r="G16" s="236"/>
    </row>
    <row r="17" spans="1:7" ht="18.75">
      <c r="A17" s="232" t="s">
        <v>237</v>
      </c>
      <c r="B17" s="232"/>
      <c r="C17" s="233"/>
      <c r="D17" s="411">
        <v>65099.94</v>
      </c>
      <c r="E17" s="409"/>
      <c r="G17" s="236"/>
    </row>
    <row r="18" spans="1:7" ht="18.75">
      <c r="A18" s="232" t="s">
        <v>238</v>
      </c>
      <c r="B18" s="232"/>
      <c r="C18" s="233"/>
      <c r="D18" s="411">
        <v>101130</v>
      </c>
      <c r="E18" s="409"/>
      <c r="G18" s="236"/>
    </row>
    <row r="19" spans="1:7" ht="18.75">
      <c r="A19" s="232" t="s">
        <v>400</v>
      </c>
      <c r="B19" s="232"/>
      <c r="C19" s="233" t="s">
        <v>401</v>
      </c>
      <c r="D19" s="411">
        <v>223824</v>
      </c>
      <c r="E19" s="410"/>
      <c r="G19" s="236"/>
    </row>
    <row r="20" spans="1:7" s="463" customFormat="1" ht="18.75">
      <c r="A20" s="232" t="s">
        <v>112</v>
      </c>
      <c r="B20" s="232"/>
      <c r="C20" s="233" t="s">
        <v>402</v>
      </c>
      <c r="D20" s="408"/>
      <c r="E20" s="409">
        <f>'หมายเหตุ1 '!F62</f>
        <v>32397705.060000002</v>
      </c>
      <c r="F20" s="461">
        <f>E20</f>
        <v>32397705.060000002</v>
      </c>
      <c r="G20" s="462">
        <f>F20-F13</f>
        <v>32397705.060000002</v>
      </c>
    </row>
    <row r="21" spans="1:7" s="463" customFormat="1" ht="18.75">
      <c r="A21" s="232" t="s">
        <v>403</v>
      </c>
      <c r="B21" s="232"/>
      <c r="C21" s="233" t="s">
        <v>404</v>
      </c>
      <c r="D21" s="408"/>
      <c r="E21" s="409">
        <v>520966.01</v>
      </c>
      <c r="G21" s="464"/>
    </row>
    <row r="22" spans="1:7" s="463" customFormat="1" ht="18.75">
      <c r="A22" s="232" t="s">
        <v>405</v>
      </c>
      <c r="B22" s="238"/>
      <c r="C22" s="239" t="s">
        <v>406</v>
      </c>
      <c r="D22" s="408"/>
      <c r="E22" s="409">
        <f>'หมายเหตุ 3'!E17</f>
        <v>3451399.2300000004</v>
      </c>
      <c r="G22" s="464"/>
    </row>
    <row r="23" spans="1:7" s="463" customFormat="1" ht="18.75">
      <c r="A23" s="232" t="s">
        <v>125</v>
      </c>
      <c r="B23" s="232"/>
      <c r="C23" s="239" t="s">
        <v>207</v>
      </c>
      <c r="D23" s="408"/>
      <c r="E23" s="502">
        <v>17693564.81</v>
      </c>
      <c r="G23" s="462">
        <f>E20+E21+E22+E23+E253+E24+E25</f>
        <v>62080948.379999995</v>
      </c>
    </row>
    <row r="24" spans="1:7" s="463" customFormat="1" ht="18.75">
      <c r="A24" s="232" t="s">
        <v>33</v>
      </c>
      <c r="B24" s="232"/>
      <c r="C24" s="239" t="s">
        <v>407</v>
      </c>
      <c r="D24" s="408"/>
      <c r="E24" s="502">
        <v>8008513.27</v>
      </c>
      <c r="G24" s="465"/>
    </row>
    <row r="25" spans="1:7" s="463" customFormat="1" ht="18.75">
      <c r="A25" s="232" t="s">
        <v>492</v>
      </c>
      <c r="B25" s="232"/>
      <c r="C25" s="233"/>
      <c r="D25" s="408"/>
      <c r="E25" s="502">
        <v>8800</v>
      </c>
      <c r="G25" s="465"/>
    </row>
    <row r="26" spans="1:7" s="463" customFormat="1" ht="18.75">
      <c r="A26" s="232" t="s">
        <v>494</v>
      </c>
      <c r="B26" s="232"/>
      <c r="C26" s="233"/>
      <c r="D26" s="408">
        <v>0</v>
      </c>
      <c r="E26" s="502"/>
      <c r="G26" s="465"/>
    </row>
    <row r="27" spans="1:7" s="463" customFormat="1" ht="18.75">
      <c r="A27" s="232" t="s">
        <v>493</v>
      </c>
      <c r="B27" s="232"/>
      <c r="C27" s="233"/>
      <c r="D27" s="408">
        <v>8800</v>
      </c>
      <c r="E27" s="502"/>
      <c r="G27" s="465"/>
    </row>
    <row r="28" spans="1:7" ht="18.75">
      <c r="A28" s="232" t="s">
        <v>142</v>
      </c>
      <c r="B28" s="232"/>
      <c r="C28" s="233" t="s">
        <v>215</v>
      </c>
      <c r="D28" s="411">
        <v>592705.5</v>
      </c>
      <c r="E28" s="409"/>
      <c r="G28" s="236"/>
    </row>
    <row r="29" spans="1:7" ht="18.75">
      <c r="A29" s="232" t="s">
        <v>325</v>
      </c>
      <c r="B29" s="232"/>
      <c r="C29" s="233"/>
      <c r="D29" s="411">
        <f>1626700+377600+545+809100+187200+1140+717400+89600+164800+20800+570+804900+184800+570-545+802000+183200+570+801200+181600+570+799500+180800+570</f>
        <v>7935190</v>
      </c>
      <c r="E29" s="409"/>
      <c r="G29" s="236"/>
    </row>
    <row r="30" spans="1:8" ht="23.25">
      <c r="A30" s="232" t="s">
        <v>353</v>
      </c>
      <c r="B30" s="232"/>
      <c r="C30" s="233" t="s">
        <v>216</v>
      </c>
      <c r="D30" s="411">
        <v>1939370</v>
      </c>
      <c r="E30" s="409"/>
      <c r="F30" s="423"/>
      <c r="G30" s="258"/>
      <c r="H30" s="259">
        <f>G30-F30</f>
        <v>0</v>
      </c>
    </row>
    <row r="31" spans="1:8" ht="23.25">
      <c r="A31" s="232" t="s">
        <v>354</v>
      </c>
      <c r="B31" s="232"/>
      <c r="C31" s="233"/>
      <c r="D31" s="411">
        <v>4229933</v>
      </c>
      <c r="E31" s="409"/>
      <c r="F31" s="423"/>
      <c r="G31" s="258"/>
      <c r="H31" s="259"/>
    </row>
    <row r="32" spans="1:8" ht="23.25">
      <c r="A32" s="232" t="s">
        <v>445</v>
      </c>
      <c r="B32" s="232"/>
      <c r="C32" s="233"/>
      <c r="D32" s="411">
        <f>117060+58530+58530+58530+60990+60150+60150</f>
        <v>473940</v>
      </c>
      <c r="E32" s="409"/>
      <c r="F32" s="423">
        <f>D28+D30+D31+D34+D36+D37+D39+D40+D41+D43</f>
        <v>11057262.39</v>
      </c>
      <c r="G32" s="258"/>
      <c r="H32" s="259"/>
    </row>
    <row r="33" spans="1:7" ht="21">
      <c r="A33" s="232" t="s">
        <v>446</v>
      </c>
      <c r="B33" s="232"/>
      <c r="C33" s="233"/>
      <c r="D33" s="411">
        <f>57000+11400+11400+11400</f>
        <v>91200</v>
      </c>
      <c r="E33" s="409"/>
      <c r="F33" s="431">
        <f>D29+D32+D33+D35+D38+D42</f>
        <v>9624930</v>
      </c>
      <c r="G33" s="236"/>
    </row>
    <row r="34" spans="1:7" ht="21">
      <c r="A34" s="232" t="s">
        <v>28</v>
      </c>
      <c r="B34" s="232"/>
      <c r="C34" s="233" t="s">
        <v>217</v>
      </c>
      <c r="D34" s="411">
        <v>121050</v>
      </c>
      <c r="E34" s="409"/>
      <c r="F34" s="424">
        <v>0</v>
      </c>
      <c r="G34" s="236"/>
    </row>
    <row r="35" spans="1:7" ht="21">
      <c r="A35" s="232" t="s">
        <v>410</v>
      </c>
      <c r="B35" s="232"/>
      <c r="C35" s="233"/>
      <c r="D35" s="411">
        <v>0</v>
      </c>
      <c r="E35" s="409"/>
      <c r="F35" s="432">
        <f>F32+F33</f>
        <v>20682192.39</v>
      </c>
      <c r="G35" s="236"/>
    </row>
    <row r="36" spans="1:7" ht="18.75">
      <c r="A36" s="232" t="s">
        <v>29</v>
      </c>
      <c r="B36" s="232"/>
      <c r="C36" s="233" t="s">
        <v>218</v>
      </c>
      <c r="D36" s="411">
        <v>1460112.55</v>
      </c>
      <c r="E36" s="409"/>
      <c r="F36" s="259"/>
      <c r="G36" s="236"/>
    </row>
    <row r="37" spans="1:7" ht="18.75">
      <c r="A37" s="232" t="s">
        <v>30</v>
      </c>
      <c r="B37" s="232"/>
      <c r="C37" s="233" t="s">
        <v>219</v>
      </c>
      <c r="D37" s="411">
        <v>1030467.84</v>
      </c>
      <c r="E37" s="409"/>
      <c r="G37" s="236"/>
    </row>
    <row r="38" spans="1:7" ht="18.75">
      <c r="A38" s="232" t="s">
        <v>447</v>
      </c>
      <c r="B38" s="232"/>
      <c r="C38" s="233"/>
      <c r="D38" s="411">
        <v>54600</v>
      </c>
      <c r="E38" s="409"/>
      <c r="G38" s="236"/>
    </row>
    <row r="39" spans="1:7" ht="18.75">
      <c r="A39" s="232" t="s">
        <v>140</v>
      </c>
      <c r="B39" s="232"/>
      <c r="C39" s="233" t="s">
        <v>220</v>
      </c>
      <c r="D39" s="411">
        <v>287789.13</v>
      </c>
      <c r="E39" s="409"/>
      <c r="F39" s="338">
        <f>F20-F35</f>
        <v>11715512.670000002</v>
      </c>
      <c r="G39" s="236"/>
    </row>
    <row r="40" spans="1:7" ht="18.75">
      <c r="A40" s="232" t="s">
        <v>345</v>
      </c>
      <c r="B40" s="232"/>
      <c r="C40" s="233" t="s">
        <v>221</v>
      </c>
      <c r="D40" s="411">
        <v>361834.37</v>
      </c>
      <c r="E40" s="409"/>
      <c r="G40" s="236"/>
    </row>
    <row r="41" spans="1:7" ht="18.75">
      <c r="A41" s="232" t="s">
        <v>150</v>
      </c>
      <c r="B41" s="232"/>
      <c r="C41" s="233"/>
      <c r="D41" s="411">
        <v>20000</v>
      </c>
      <c r="E41" s="409"/>
      <c r="G41" s="236"/>
    </row>
    <row r="42" spans="1:7" ht="18.75">
      <c r="A42" s="232" t="s">
        <v>463</v>
      </c>
      <c r="B42" s="232"/>
      <c r="C42" s="233"/>
      <c r="D42" s="411">
        <v>1070000</v>
      </c>
      <c r="E42" s="409"/>
      <c r="G42" s="236"/>
    </row>
    <row r="43" spans="1:7" ht="18.75">
      <c r="A43" s="232" t="s">
        <v>23</v>
      </c>
      <c r="B43" s="232"/>
      <c r="C43" s="233" t="s">
        <v>256</v>
      </c>
      <c r="D43" s="411">
        <v>1014000</v>
      </c>
      <c r="E43" s="409"/>
      <c r="F43" s="258">
        <f>8627092.53*25%</f>
        <v>2156773.1325</v>
      </c>
      <c r="G43" s="463" t="s">
        <v>449</v>
      </c>
    </row>
    <row r="44" spans="1:7" ht="18.75">
      <c r="A44" s="232"/>
      <c r="B44" s="232"/>
      <c r="C44" s="233"/>
      <c r="D44" s="408">
        <v>0</v>
      </c>
      <c r="E44" s="409"/>
      <c r="F44" s="338"/>
      <c r="G44" s="259">
        <f>F43+F45</f>
        <v>11715512.670000002</v>
      </c>
    </row>
    <row r="45" spans="1:7" ht="18.75">
      <c r="A45" s="232"/>
      <c r="B45" s="238"/>
      <c r="C45" s="239"/>
      <c r="D45" s="408">
        <v>0</v>
      </c>
      <c r="E45" s="409"/>
      <c r="F45" s="338">
        <f>F39-F43</f>
        <v>9558739.537500001</v>
      </c>
      <c r="G45" s="463" t="s">
        <v>448</v>
      </c>
    </row>
    <row r="46" spans="1:7" ht="25.5" customHeight="1" thickBot="1">
      <c r="A46" s="240"/>
      <c r="B46" s="240"/>
      <c r="C46" s="341"/>
      <c r="D46" s="412">
        <f>SUM(D5:D45)</f>
        <v>62080948.38</v>
      </c>
      <c r="E46" s="413">
        <f>SUM(E19:E45)</f>
        <v>62080948.379999995</v>
      </c>
      <c r="F46" s="259">
        <f>D46-E46</f>
        <v>0</v>
      </c>
      <c r="G46" s="259"/>
    </row>
    <row r="47" spans="1:7" ht="24.75" customHeight="1" thickTop="1">
      <c r="A47" s="240"/>
      <c r="B47" s="240"/>
      <c r="C47" s="240"/>
      <c r="D47" s="426"/>
      <c r="E47" s="426">
        <f>E46-D46</f>
        <v>0</v>
      </c>
      <c r="F47" s="259"/>
      <c r="G47" s="503"/>
    </row>
    <row r="48" spans="1:6" ht="18.75">
      <c r="A48" s="240"/>
      <c r="B48" s="240"/>
      <c r="C48" s="240"/>
      <c r="D48" s="426"/>
      <c r="E48" s="426">
        <f>E46-G23</f>
        <v>0</v>
      </c>
      <c r="F48" s="259"/>
    </row>
    <row r="49" spans="1:6" ht="18.75">
      <c r="A49" s="240"/>
      <c r="B49" s="240"/>
      <c r="C49" s="240"/>
      <c r="D49" s="426"/>
      <c r="E49" s="426"/>
      <c r="F49" s="259"/>
    </row>
    <row r="50" spans="1:6" ht="18.75">
      <c r="A50" s="240"/>
      <c r="B50" s="240"/>
      <c r="C50" s="240"/>
      <c r="D50" s="426"/>
      <c r="E50" s="426"/>
      <c r="F50" s="259"/>
    </row>
    <row r="51" spans="1:6" ht="18.75">
      <c r="A51" s="240"/>
      <c r="B51" s="240"/>
      <c r="C51" s="240"/>
      <c r="D51" s="426"/>
      <c r="E51" s="426"/>
      <c r="F51" s="259"/>
    </row>
    <row r="52" spans="1:6" ht="18.75">
      <c r="A52" s="240"/>
      <c r="B52" s="240"/>
      <c r="C52" s="240"/>
      <c r="D52" s="426"/>
      <c r="E52" s="426"/>
      <c r="F52" s="259"/>
    </row>
    <row r="53" spans="1:6" ht="18.75">
      <c r="A53" s="240"/>
      <c r="B53" s="240"/>
      <c r="C53" s="240"/>
      <c r="D53" s="426"/>
      <c r="E53" s="426"/>
      <c r="F53" s="259"/>
    </row>
    <row r="54" spans="1:6" ht="18.75">
      <c r="A54" s="240"/>
      <c r="B54" s="240"/>
      <c r="C54" s="240"/>
      <c r="D54" s="426"/>
      <c r="E54" s="426"/>
      <c r="F54" s="259"/>
    </row>
    <row r="55" spans="1:6" ht="18.75">
      <c r="A55" s="240"/>
      <c r="B55" s="240"/>
      <c r="C55" s="240"/>
      <c r="D55" s="426"/>
      <c r="E55" s="426"/>
      <c r="F55" s="259"/>
    </row>
    <row r="56" spans="1:6" ht="18.75">
      <c r="A56" s="240"/>
      <c r="B56" s="240"/>
      <c r="C56" s="240"/>
      <c r="D56" s="426"/>
      <c r="E56" s="426"/>
      <c r="F56" s="259"/>
    </row>
    <row r="57" spans="1:6" ht="18.75">
      <c r="A57" s="240"/>
      <c r="B57" s="240"/>
      <c r="C57" s="240"/>
      <c r="D57" s="426"/>
      <c r="E57" s="426"/>
      <c r="F57" s="259"/>
    </row>
    <row r="58" spans="1:6" ht="18.75">
      <c r="A58" s="240"/>
      <c r="B58" s="240"/>
      <c r="C58" s="240"/>
      <c r="D58" s="426"/>
      <c r="E58" s="426"/>
      <c r="F58" s="259"/>
    </row>
    <row r="59" spans="1:5" ht="21.75">
      <c r="A59" s="270"/>
      <c r="B59" s="246"/>
      <c r="C59" s="270"/>
      <c r="D59" s="539"/>
      <c r="E59" s="539"/>
    </row>
    <row r="60" spans="1:7" ht="21">
      <c r="A60" s="118"/>
      <c r="B60" s="540"/>
      <c r="C60" s="540"/>
      <c r="D60" s="539"/>
      <c r="E60" s="539"/>
      <c r="F60" s="338">
        <f>E46-D46</f>
        <v>0</v>
      </c>
      <c r="G60" s="364">
        <v>2478</v>
      </c>
    </row>
    <row r="61" spans="1:6" ht="21">
      <c r="A61" s="265"/>
      <c r="B61" s="269"/>
      <c r="C61" s="269"/>
      <c r="D61" s="266"/>
      <c r="E61" s="266"/>
      <c r="F61" s="258"/>
    </row>
    <row r="62" spans="2:7" ht="18.75">
      <c r="B62" s="538"/>
      <c r="C62" s="538"/>
      <c r="G62" s="339">
        <v>738</v>
      </c>
    </row>
    <row r="63" spans="6:7" ht="18.75">
      <c r="F63" s="259"/>
      <c r="G63" s="365" t="e">
        <f>G62+#REF!</f>
        <v>#REF!</v>
      </c>
    </row>
    <row r="64" spans="1:5" ht="18.75">
      <c r="A64" s="362" t="s">
        <v>127</v>
      </c>
      <c r="B64" s="232" t="s">
        <v>7</v>
      </c>
      <c r="C64" s="233" t="s">
        <v>221</v>
      </c>
      <c r="D64" s="411">
        <v>0</v>
      </c>
      <c r="E64" s="409"/>
    </row>
    <row r="65" spans="1:7" ht="18.75">
      <c r="A65" s="362" t="s">
        <v>284</v>
      </c>
      <c r="B65" s="232"/>
      <c r="C65" s="233" t="s">
        <v>209</v>
      </c>
      <c r="D65" s="411">
        <v>0</v>
      </c>
      <c r="E65" s="409"/>
      <c r="G65" s="236"/>
    </row>
    <row r="66" spans="1:7" ht="18.75">
      <c r="A66" s="232" t="s">
        <v>23</v>
      </c>
      <c r="B66" s="232"/>
      <c r="C66" s="233" t="s">
        <v>256</v>
      </c>
      <c r="D66" s="411">
        <v>0</v>
      </c>
      <c r="E66" s="409"/>
      <c r="G66" s="236"/>
    </row>
    <row r="67" spans="1:7" ht="18.75">
      <c r="A67" s="232" t="s">
        <v>204</v>
      </c>
      <c r="B67" s="232"/>
      <c r="C67" s="233" t="s">
        <v>255</v>
      </c>
      <c r="D67" s="411">
        <v>0</v>
      </c>
      <c r="E67" s="409"/>
      <c r="G67" s="236"/>
    </row>
  </sheetData>
  <sheetProtection/>
  <mergeCells count="7">
    <mergeCell ref="A1:E1"/>
    <mergeCell ref="A2:E2"/>
    <mergeCell ref="B62:C62"/>
    <mergeCell ref="D59:E59"/>
    <mergeCell ref="D60:E60"/>
    <mergeCell ref="B60:C60"/>
    <mergeCell ref="B3:C3"/>
  </mergeCells>
  <printOptions/>
  <pageMargins left="0.49" right="0.24" top="0.24" bottom="0.15" header="0.14" footer="0.14"/>
  <pageSetup horizontalDpi="180" verticalDpi="18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82"/>
  <sheetViews>
    <sheetView tabSelected="1" zoomScale="85" zoomScaleNormal="85" zoomScaleSheetLayoutView="100" zoomScalePageLayoutView="0" workbookViewId="0" topLeftCell="A34">
      <selection activeCell="A46" sqref="A46"/>
    </sheetView>
  </sheetViews>
  <sheetFormatPr defaultColWidth="9.140625" defaultRowHeight="21.75"/>
  <cols>
    <col min="1" max="1" width="13.8515625" style="5" customWidth="1"/>
    <col min="2" max="3" width="12.8515625" style="5" customWidth="1"/>
    <col min="4" max="4" width="14.8515625" style="5" customWidth="1"/>
    <col min="5" max="5" width="4.00390625" style="5" customWidth="1"/>
    <col min="6" max="6" width="39.421875" style="5" customWidth="1"/>
    <col min="7" max="7" width="7.57421875" style="8" customWidth="1"/>
    <col min="8" max="8" width="17.140625" style="9" customWidth="1"/>
    <col min="9" max="9" width="6.140625" style="9" customWidth="1"/>
    <col min="10" max="10" width="20.8515625" style="99" bestFit="1" customWidth="1"/>
    <col min="11" max="11" width="15.00390625" style="4" customWidth="1"/>
    <col min="12" max="12" width="17.00390625" style="121" bestFit="1" customWidth="1"/>
    <col min="13" max="13" width="16.00390625" style="121" customWidth="1"/>
    <col min="14" max="14" width="15.140625" style="5" customWidth="1"/>
    <col min="15" max="16384" width="9.140625" style="5" customWidth="1"/>
  </cols>
  <sheetData>
    <row r="1" spans="1:13" s="345" customFormat="1" ht="21.75" customHeight="1">
      <c r="A1" s="556" t="s">
        <v>66</v>
      </c>
      <c r="B1" s="556"/>
      <c r="C1" s="556"/>
      <c r="D1" s="556"/>
      <c r="E1" s="556"/>
      <c r="F1" s="556"/>
      <c r="G1" s="556"/>
      <c r="H1" s="556"/>
      <c r="I1" s="342"/>
      <c r="J1" s="343"/>
      <c r="K1" s="344"/>
      <c r="L1" s="344"/>
      <c r="M1" s="344"/>
    </row>
    <row r="2" spans="1:13" s="349" customFormat="1" ht="21.75" customHeight="1">
      <c r="A2" s="556" t="s">
        <v>9</v>
      </c>
      <c r="B2" s="556"/>
      <c r="C2" s="556"/>
      <c r="D2" s="556"/>
      <c r="E2" s="556"/>
      <c r="F2" s="556"/>
      <c r="G2" s="556"/>
      <c r="H2" s="556"/>
      <c r="I2" s="346"/>
      <c r="J2" s="347"/>
      <c r="K2" s="344"/>
      <c r="L2" s="348"/>
      <c r="M2" s="348"/>
    </row>
    <row r="3" spans="1:13" s="349" customFormat="1" ht="21.75" customHeight="1">
      <c r="A3" s="565" t="s">
        <v>480</v>
      </c>
      <c r="B3" s="565"/>
      <c r="C3" s="565"/>
      <c r="D3" s="565"/>
      <c r="E3" s="565"/>
      <c r="F3" s="565"/>
      <c r="G3" s="565"/>
      <c r="H3" s="565"/>
      <c r="I3" s="346"/>
      <c r="J3" s="347"/>
      <c r="K3" s="344"/>
      <c r="L3" s="348"/>
      <c r="M3" s="348"/>
    </row>
    <row r="4" spans="2:13" s="349" customFormat="1" ht="21.75" customHeight="1" thickBot="1">
      <c r="B4" s="344"/>
      <c r="C4" s="344"/>
      <c r="D4" s="350"/>
      <c r="E4" s="350"/>
      <c r="F4" s="559"/>
      <c r="G4" s="559"/>
      <c r="H4" s="559"/>
      <c r="I4" s="346"/>
      <c r="J4" s="347"/>
      <c r="K4" s="344"/>
      <c r="L4" s="348"/>
      <c r="M4" s="348"/>
    </row>
    <row r="5" spans="1:13" s="14" customFormat="1" ht="21.75" customHeight="1" thickTop="1">
      <c r="A5" s="560" t="s">
        <v>10</v>
      </c>
      <c r="B5" s="561"/>
      <c r="C5" s="561"/>
      <c r="D5" s="561"/>
      <c r="E5" s="563"/>
      <c r="F5" s="564"/>
      <c r="G5" s="12"/>
      <c r="H5" s="446" t="s">
        <v>6</v>
      </c>
      <c r="I5" s="13"/>
      <c r="J5" s="97"/>
      <c r="K5" s="4"/>
      <c r="L5" s="119"/>
      <c r="M5" s="119"/>
    </row>
    <row r="6" spans="1:13" s="14" customFormat="1" ht="21.75" customHeight="1">
      <c r="A6" s="15" t="s">
        <v>12</v>
      </c>
      <c r="B6" s="115" t="s">
        <v>385</v>
      </c>
      <c r="C6" s="15"/>
      <c r="D6" s="10" t="s">
        <v>13</v>
      </c>
      <c r="E6" s="544" t="s">
        <v>1</v>
      </c>
      <c r="F6" s="545"/>
      <c r="G6" s="16" t="s">
        <v>14</v>
      </c>
      <c r="H6" s="17" t="s">
        <v>11</v>
      </c>
      <c r="I6" s="13"/>
      <c r="J6" s="97"/>
      <c r="K6" s="4"/>
      <c r="L6" s="119"/>
      <c r="M6" s="119"/>
    </row>
    <row r="7" spans="1:13" s="14" customFormat="1" ht="21.75" customHeight="1">
      <c r="A7" s="17" t="s">
        <v>15</v>
      </c>
      <c r="B7" s="115" t="s">
        <v>386</v>
      </c>
      <c r="C7" s="17" t="s">
        <v>74</v>
      </c>
      <c r="D7" s="10" t="s">
        <v>15</v>
      </c>
      <c r="E7" s="544" t="s">
        <v>157</v>
      </c>
      <c r="F7" s="545"/>
      <c r="G7" s="16" t="s">
        <v>16</v>
      </c>
      <c r="H7" s="17" t="s">
        <v>13</v>
      </c>
      <c r="I7" s="13"/>
      <c r="J7" s="250" t="s">
        <v>181</v>
      </c>
      <c r="K7" s="4"/>
      <c r="L7" s="119"/>
      <c r="M7" s="119"/>
    </row>
    <row r="8" spans="1:13" s="14" customFormat="1" ht="21.75" customHeight="1" thickBot="1">
      <c r="A8" s="18"/>
      <c r="B8" s="443" t="s">
        <v>388</v>
      </c>
      <c r="C8" s="18" t="s">
        <v>387</v>
      </c>
      <c r="D8" s="11"/>
      <c r="E8" s="441"/>
      <c r="F8" s="11"/>
      <c r="G8" s="19"/>
      <c r="H8" s="17" t="s">
        <v>387</v>
      </c>
      <c r="I8" s="13"/>
      <c r="J8" s="250"/>
      <c r="K8" s="4"/>
      <c r="L8" s="119"/>
      <c r="M8" s="119"/>
    </row>
    <row r="9" spans="1:14" s="175" customFormat="1" ht="21.75" customHeight="1" thickTop="1">
      <c r="A9" s="167"/>
      <c r="B9" s="167"/>
      <c r="C9" s="167"/>
      <c r="D9" s="167">
        <v>42955295.8</v>
      </c>
      <c r="E9" s="168" t="s">
        <v>17</v>
      </c>
      <c r="F9" s="169"/>
      <c r="G9" s="170"/>
      <c r="H9" s="327">
        <v>40369284.12</v>
      </c>
      <c r="I9" s="171"/>
      <c r="J9" s="172">
        <v>42955295.8</v>
      </c>
      <c r="K9" s="173"/>
      <c r="L9" s="174"/>
      <c r="M9" s="174"/>
      <c r="N9" s="175">
        <v>310000</v>
      </c>
    </row>
    <row r="10" spans="1:14" s="6" customFormat="1" ht="21.75" customHeight="1">
      <c r="A10" s="176"/>
      <c r="B10" s="176"/>
      <c r="C10" s="176"/>
      <c r="D10" s="177"/>
      <c r="E10" s="178" t="s">
        <v>174</v>
      </c>
      <c r="F10" s="179"/>
      <c r="G10" s="114"/>
      <c r="H10" s="328"/>
      <c r="I10" s="181"/>
      <c r="J10" s="182"/>
      <c r="K10" s="173"/>
      <c r="L10" s="173"/>
      <c r="N10" s="6">
        <v>164000</v>
      </c>
    </row>
    <row r="11" spans="1:14" s="6" customFormat="1" ht="21.75" customHeight="1">
      <c r="A11" s="176">
        <f>'หมายเหตุ1 '!E10</f>
        <v>1150000</v>
      </c>
      <c r="B11" s="176"/>
      <c r="C11" s="176">
        <f aca="true" t="shared" si="0" ref="C11:C16">A11</f>
        <v>1150000</v>
      </c>
      <c r="D11" s="176">
        <f aca="true" t="shared" si="1" ref="D11:D23">J11+H11</f>
        <v>1133565.94</v>
      </c>
      <c r="E11" s="183" t="s">
        <v>18</v>
      </c>
      <c r="F11" s="184"/>
      <c r="G11" s="114" t="s">
        <v>186</v>
      </c>
      <c r="H11" s="328">
        <f>'หมายเหตุ1 '!G10</f>
        <v>56412.71</v>
      </c>
      <c r="I11" s="181"/>
      <c r="J11" s="260">
        <v>1077153.23</v>
      </c>
      <c r="L11" s="173"/>
      <c r="M11" s="173"/>
      <c r="N11" s="6">
        <v>100000</v>
      </c>
    </row>
    <row r="12" spans="1:14" s="6" customFormat="1" ht="21.75" customHeight="1">
      <c r="A12" s="176">
        <f>'หมายเหตุ1 '!E23</f>
        <v>123500</v>
      </c>
      <c r="B12" s="176"/>
      <c r="C12" s="176">
        <f t="shared" si="0"/>
        <v>123500</v>
      </c>
      <c r="D12" s="176">
        <f t="shared" si="1"/>
        <v>141689</v>
      </c>
      <c r="E12" s="183" t="s">
        <v>19</v>
      </c>
      <c r="F12" s="184"/>
      <c r="G12" s="114" t="s">
        <v>210</v>
      </c>
      <c r="H12" s="328">
        <f>'หมายเหตุ1 '!G23</f>
        <v>54912</v>
      </c>
      <c r="I12" s="181"/>
      <c r="J12" s="260">
        <v>86777</v>
      </c>
      <c r="K12" s="173"/>
      <c r="L12" s="173"/>
      <c r="M12" s="173"/>
      <c r="N12" s="6">
        <f>SUM(N9:N11)</f>
        <v>574000</v>
      </c>
    </row>
    <row r="13" spans="1:13" s="6" customFormat="1" ht="21.75" customHeight="1">
      <c r="A13" s="180">
        <f>'หมายเหตุ1 '!E26</f>
        <v>566500</v>
      </c>
      <c r="B13" s="176"/>
      <c r="C13" s="176">
        <f t="shared" si="0"/>
        <v>566500</v>
      </c>
      <c r="D13" s="176">
        <f t="shared" si="1"/>
        <v>170865.64</v>
      </c>
      <c r="E13" s="183" t="s">
        <v>20</v>
      </c>
      <c r="F13" s="184"/>
      <c r="G13" s="114" t="s">
        <v>211</v>
      </c>
      <c r="H13" s="328">
        <f>'หมายเหตุ1 '!G26</f>
        <v>0</v>
      </c>
      <c r="I13" s="181"/>
      <c r="J13" s="260">
        <v>170865.64</v>
      </c>
      <c r="K13" s="173"/>
      <c r="L13" s="173"/>
      <c r="M13" s="173"/>
    </row>
    <row r="14" spans="1:13" s="6" customFormat="1" ht="21.75" customHeight="1">
      <c r="A14" s="180">
        <f>'หมายเหตุ1 '!E30</f>
        <v>120000</v>
      </c>
      <c r="B14" s="176"/>
      <c r="C14" s="176">
        <f t="shared" si="0"/>
        <v>120000</v>
      </c>
      <c r="D14" s="176">
        <f t="shared" si="1"/>
        <v>60620</v>
      </c>
      <c r="E14" s="183" t="s">
        <v>21</v>
      </c>
      <c r="F14" s="184"/>
      <c r="G14" s="114" t="s">
        <v>212</v>
      </c>
      <c r="H14" s="328">
        <f>'หมายเหตุ1 '!G30</f>
        <v>1010</v>
      </c>
      <c r="I14" s="181"/>
      <c r="J14" s="260">
        <v>59610</v>
      </c>
      <c r="K14" s="173"/>
      <c r="L14" s="173"/>
      <c r="M14" s="173"/>
    </row>
    <row r="15" spans="1:13" s="6" customFormat="1" ht="21.75" customHeight="1">
      <c r="A15" s="180">
        <f>'หมายเหตุ1 '!E44</f>
        <v>24040000</v>
      </c>
      <c r="B15" s="176"/>
      <c r="C15" s="176">
        <f t="shared" si="0"/>
        <v>24040000</v>
      </c>
      <c r="D15" s="176">
        <f t="shared" si="1"/>
        <v>15060457.48</v>
      </c>
      <c r="E15" s="183" t="s">
        <v>22</v>
      </c>
      <c r="F15" s="184"/>
      <c r="G15" s="114" t="s">
        <v>213</v>
      </c>
      <c r="H15" s="328">
        <f>'หมายเหตุ1 '!G44</f>
        <v>3015342.73</v>
      </c>
      <c r="I15" s="181"/>
      <c r="J15" s="185">
        <v>12045114.75</v>
      </c>
      <c r="K15" s="173"/>
      <c r="L15" s="173"/>
      <c r="M15" s="173"/>
    </row>
    <row r="16" spans="1:13" s="6" customFormat="1" ht="21.75" customHeight="1">
      <c r="A16" s="180">
        <f>'หมายเหตุ1 '!E51</f>
        <v>9000000</v>
      </c>
      <c r="B16" s="176"/>
      <c r="C16" s="176">
        <f t="shared" si="0"/>
        <v>9000000</v>
      </c>
      <c r="D16" s="176">
        <f t="shared" si="1"/>
        <v>5962147</v>
      </c>
      <c r="E16" s="183" t="s">
        <v>72</v>
      </c>
      <c r="F16" s="184"/>
      <c r="G16" s="114" t="s">
        <v>214</v>
      </c>
      <c r="H16" s="328">
        <f>'หมายเหตุ1 '!G51</f>
        <v>0</v>
      </c>
      <c r="I16" s="181"/>
      <c r="J16" s="185">
        <v>5962147</v>
      </c>
      <c r="K16" s="173"/>
      <c r="L16" s="173"/>
      <c r="M16" s="173"/>
    </row>
    <row r="17" spans="1:13" s="6" customFormat="1" ht="21.75" customHeight="1">
      <c r="A17" s="180"/>
      <c r="B17" s="176">
        <f aca="true" t="shared" si="2" ref="B17:B22">D17</f>
        <v>6633600</v>
      </c>
      <c r="C17" s="176">
        <f aca="true" t="shared" si="3" ref="C17:C23">J17+H17</f>
        <v>6633600</v>
      </c>
      <c r="D17" s="176">
        <f t="shared" si="1"/>
        <v>6633600</v>
      </c>
      <c r="E17" s="183" t="s">
        <v>434</v>
      </c>
      <c r="F17" s="184"/>
      <c r="G17" s="114"/>
      <c r="H17" s="328">
        <f>'หมายเหตุ1 '!G55</f>
        <v>783000</v>
      </c>
      <c r="I17" s="181"/>
      <c r="J17" s="185">
        <v>5850600</v>
      </c>
      <c r="K17" s="173"/>
      <c r="L17" s="173"/>
      <c r="M17" s="173"/>
    </row>
    <row r="18" spans="1:13" s="6" customFormat="1" ht="21.75" customHeight="1">
      <c r="A18" s="180"/>
      <c r="B18" s="176">
        <f t="shared" si="2"/>
        <v>1472000</v>
      </c>
      <c r="C18" s="176">
        <f t="shared" si="3"/>
        <v>1472000</v>
      </c>
      <c r="D18" s="180">
        <f t="shared" si="1"/>
        <v>1472000</v>
      </c>
      <c r="E18" s="183" t="s">
        <v>435</v>
      </c>
      <c r="F18" s="184"/>
      <c r="G18" s="114"/>
      <c r="H18" s="328">
        <f>'หมายเหตุ1 '!G56</f>
        <v>105600</v>
      </c>
      <c r="I18" s="181"/>
      <c r="J18" s="185">
        <v>1366400</v>
      </c>
      <c r="K18" s="173"/>
      <c r="L18" s="173"/>
      <c r="M18" s="173"/>
    </row>
    <row r="19" spans="1:13" s="6" customFormat="1" ht="21.75" customHeight="1">
      <c r="A19" s="180"/>
      <c r="B19" s="176">
        <f t="shared" si="2"/>
        <v>530430</v>
      </c>
      <c r="C19" s="176">
        <f t="shared" si="3"/>
        <v>530430</v>
      </c>
      <c r="D19" s="180">
        <f t="shared" si="1"/>
        <v>530430</v>
      </c>
      <c r="E19" s="183" t="s">
        <v>436</v>
      </c>
      <c r="F19" s="184"/>
      <c r="G19" s="114"/>
      <c r="H19" s="328">
        <f>'หมายเหตุ1 '!G57</f>
        <v>0</v>
      </c>
      <c r="I19" s="181"/>
      <c r="J19" s="185">
        <v>530430</v>
      </c>
      <c r="K19" s="173"/>
      <c r="L19" s="173"/>
      <c r="M19" s="173"/>
    </row>
    <row r="20" spans="1:13" s="6" customFormat="1" ht="21.75" customHeight="1">
      <c r="A20" s="180"/>
      <c r="B20" s="176">
        <f t="shared" si="2"/>
        <v>113500</v>
      </c>
      <c r="C20" s="176">
        <f t="shared" si="3"/>
        <v>113500</v>
      </c>
      <c r="D20" s="180">
        <f t="shared" si="1"/>
        <v>113500</v>
      </c>
      <c r="E20" s="183" t="s">
        <v>433</v>
      </c>
      <c r="F20" s="184"/>
      <c r="G20" s="114"/>
      <c r="H20" s="328">
        <f>'หมายเหตุ1 '!G58</f>
        <v>0</v>
      </c>
      <c r="I20" s="181"/>
      <c r="J20" s="185">
        <v>113500</v>
      </c>
      <c r="K20" s="173"/>
      <c r="L20" s="173"/>
      <c r="M20" s="173"/>
    </row>
    <row r="21" spans="1:13" s="6" customFormat="1" ht="21.75" customHeight="1">
      <c r="A21" s="180"/>
      <c r="B21" s="176">
        <f t="shared" si="2"/>
        <v>5675</v>
      </c>
      <c r="C21" s="176">
        <f t="shared" si="3"/>
        <v>5675</v>
      </c>
      <c r="D21" s="180">
        <f t="shared" si="1"/>
        <v>5675</v>
      </c>
      <c r="E21" s="183" t="s">
        <v>437</v>
      </c>
      <c r="F21" s="184"/>
      <c r="G21" s="114"/>
      <c r="H21" s="328">
        <f>'หมายเหตุ1 '!G59</f>
        <v>0</v>
      </c>
      <c r="I21" s="181"/>
      <c r="J21" s="185">
        <v>5675</v>
      </c>
      <c r="K21" s="173"/>
      <c r="L21" s="173"/>
      <c r="M21" s="173"/>
    </row>
    <row r="22" spans="1:13" s="6" customFormat="1" ht="21.75" customHeight="1">
      <c r="A22" s="180"/>
      <c r="B22" s="176">
        <f t="shared" si="2"/>
        <v>54600</v>
      </c>
      <c r="C22" s="176">
        <f t="shared" si="3"/>
        <v>54600</v>
      </c>
      <c r="D22" s="180">
        <f t="shared" si="1"/>
        <v>54600</v>
      </c>
      <c r="E22" s="183" t="s">
        <v>438</v>
      </c>
      <c r="F22" s="184"/>
      <c r="G22" s="114"/>
      <c r="H22" s="328"/>
      <c r="I22" s="181"/>
      <c r="J22" s="185">
        <v>54600</v>
      </c>
      <c r="K22" s="173"/>
      <c r="L22" s="173"/>
      <c r="M22" s="173"/>
    </row>
    <row r="23" spans="1:13" s="6" customFormat="1" ht="21.75" customHeight="1">
      <c r="A23" s="180"/>
      <c r="B23" s="176">
        <v>1070000</v>
      </c>
      <c r="C23" s="176">
        <f t="shared" si="3"/>
        <v>1070000</v>
      </c>
      <c r="D23" s="180">
        <f t="shared" si="1"/>
        <v>1070000</v>
      </c>
      <c r="E23" s="183" t="s">
        <v>461</v>
      </c>
      <c r="F23" s="516"/>
      <c r="G23" s="114"/>
      <c r="H23" s="328"/>
      <c r="I23" s="181"/>
      <c r="J23" s="185">
        <v>1070000</v>
      </c>
      <c r="K23" s="173"/>
      <c r="L23" s="173"/>
      <c r="M23" s="173"/>
    </row>
    <row r="24" spans="1:13" s="6" customFormat="1" ht="21.75" customHeight="1">
      <c r="A24" s="205"/>
      <c r="B24" s="176">
        <v>0</v>
      </c>
      <c r="C24" s="176">
        <v>0</v>
      </c>
      <c r="D24" s="188">
        <f>J24+H24</f>
        <v>288109.24</v>
      </c>
      <c r="E24" s="183" t="s">
        <v>33</v>
      </c>
      <c r="F24" s="184"/>
      <c r="G24" s="114" t="s">
        <v>200</v>
      </c>
      <c r="H24" s="328"/>
      <c r="I24" s="181"/>
      <c r="J24" s="185">
        <v>288109.24</v>
      </c>
      <c r="K24" s="214"/>
      <c r="L24" s="173" t="e">
        <f>J24+J25+#REF!+#REF!+#REF!+#REF!+#REF!</f>
        <v>#REF!</v>
      </c>
      <c r="M24" s="173"/>
    </row>
    <row r="25" spans="1:13" s="6" customFormat="1" ht="21.75" customHeight="1">
      <c r="A25" s="205"/>
      <c r="B25" s="176">
        <v>0</v>
      </c>
      <c r="C25" s="176">
        <v>0</v>
      </c>
      <c r="D25" s="188">
        <f>J25+H25</f>
        <v>1574444.25</v>
      </c>
      <c r="E25" s="183" t="s">
        <v>113</v>
      </c>
      <c r="F25" s="184"/>
      <c r="G25" s="114" t="s">
        <v>208</v>
      </c>
      <c r="H25" s="328">
        <f>'หมายเหตุ2  '!C17</f>
        <v>32101.649999999998</v>
      </c>
      <c r="I25" s="181"/>
      <c r="J25" s="185">
        <v>1542342.6</v>
      </c>
      <c r="K25" s="214"/>
      <c r="L25" s="173"/>
      <c r="M25" s="173"/>
    </row>
    <row r="26" spans="1:13" s="6" customFormat="1" ht="21.75" customHeight="1">
      <c r="A26" s="205"/>
      <c r="B26" s="176">
        <v>0</v>
      </c>
      <c r="C26" s="176">
        <v>0</v>
      </c>
      <c r="D26" s="188">
        <f>H26+J26</f>
        <v>17781.31</v>
      </c>
      <c r="E26" s="183" t="s">
        <v>233</v>
      </c>
      <c r="F26" s="189"/>
      <c r="G26" s="114"/>
      <c r="H26" s="328">
        <f>'ใบผ่านมาตรฐาน 1, 2'!G23</f>
        <v>783.2</v>
      </c>
      <c r="I26" s="181"/>
      <c r="J26" s="185">
        <v>16998.11</v>
      </c>
      <c r="K26" s="214"/>
      <c r="L26" s="173">
        <v>7378.99</v>
      </c>
      <c r="M26" s="173"/>
    </row>
    <row r="27" spans="1:13" s="6" customFormat="1" ht="21.75" customHeight="1">
      <c r="A27" s="205"/>
      <c r="B27" s="176">
        <v>0</v>
      </c>
      <c r="C27" s="176">
        <v>0</v>
      </c>
      <c r="D27" s="188">
        <f>H27+J27</f>
        <v>26805</v>
      </c>
      <c r="E27" s="183" t="s">
        <v>280</v>
      </c>
      <c r="F27" s="189"/>
      <c r="G27" s="114"/>
      <c r="H27" s="328">
        <f>'ใบผ่านมาตรฐาน 1, 2'!G24</f>
        <v>0</v>
      </c>
      <c r="I27" s="181"/>
      <c r="J27" s="185">
        <v>26805</v>
      </c>
      <c r="K27" s="214"/>
      <c r="L27" s="173"/>
      <c r="M27" s="173"/>
    </row>
    <row r="28" spans="1:13" s="6" customFormat="1" ht="21.75" customHeight="1">
      <c r="A28" s="205"/>
      <c r="B28" s="176">
        <v>0</v>
      </c>
      <c r="C28" s="176">
        <v>0</v>
      </c>
      <c r="D28" s="188">
        <f>H28+J28</f>
        <v>1600</v>
      </c>
      <c r="E28" s="183" t="s">
        <v>319</v>
      </c>
      <c r="F28" s="189"/>
      <c r="G28" s="114"/>
      <c r="H28" s="328">
        <v>0</v>
      </c>
      <c r="I28" s="181"/>
      <c r="J28" s="185">
        <v>1600</v>
      </c>
      <c r="K28" s="214"/>
      <c r="L28" s="173"/>
      <c r="M28" s="173"/>
    </row>
    <row r="29" spans="1:13" s="6" customFormat="1" ht="21.75" customHeight="1">
      <c r="A29" s="205"/>
      <c r="B29" s="176"/>
      <c r="C29" s="180"/>
      <c r="D29" s="188">
        <f>H29+J29</f>
        <v>102032</v>
      </c>
      <c r="E29" s="183" t="s">
        <v>452</v>
      </c>
      <c r="F29" s="189"/>
      <c r="G29" s="114"/>
      <c r="H29" s="328">
        <v>5004</v>
      </c>
      <c r="I29" s="181"/>
      <c r="J29" s="185">
        <v>97028</v>
      </c>
      <c r="K29" s="214"/>
      <c r="L29" s="173"/>
      <c r="M29" s="173"/>
    </row>
    <row r="30" spans="1:13" s="6" customFormat="1" ht="21.75" customHeight="1">
      <c r="A30" s="205"/>
      <c r="B30" s="205"/>
      <c r="C30" s="181"/>
      <c r="D30" s="188">
        <v>545</v>
      </c>
      <c r="E30" s="183" t="s">
        <v>465</v>
      </c>
      <c r="F30" s="189"/>
      <c r="G30" s="114"/>
      <c r="H30" s="328">
        <v>0</v>
      </c>
      <c r="I30" s="181"/>
      <c r="J30" s="185">
        <v>545</v>
      </c>
      <c r="K30" s="214"/>
      <c r="L30" s="173"/>
      <c r="M30" s="173"/>
    </row>
    <row r="31" spans="1:13" s="6" customFormat="1" ht="21.75" customHeight="1">
      <c r="A31" s="205"/>
      <c r="B31" s="205"/>
      <c r="C31" s="181"/>
      <c r="D31" s="188">
        <v>10900</v>
      </c>
      <c r="E31" s="183" t="s">
        <v>442</v>
      </c>
      <c r="F31" s="189"/>
      <c r="G31" s="114"/>
      <c r="H31" s="328">
        <v>0</v>
      </c>
      <c r="I31" s="181"/>
      <c r="J31" s="185">
        <v>10900</v>
      </c>
      <c r="K31" s="214"/>
      <c r="L31" s="173"/>
      <c r="M31" s="173"/>
    </row>
    <row r="32" spans="1:13" s="6" customFormat="1" ht="21.75" customHeight="1">
      <c r="A32" s="205"/>
      <c r="B32" s="205"/>
      <c r="C32" s="181"/>
      <c r="D32" s="188">
        <f>J32+H32</f>
        <v>5047505</v>
      </c>
      <c r="E32" s="183" t="s">
        <v>495</v>
      </c>
      <c r="F32" s="189"/>
      <c r="G32" s="114"/>
      <c r="H32" s="328">
        <v>705400</v>
      </c>
      <c r="I32" s="181"/>
      <c r="J32" s="185">
        <f>5055195-713090</f>
        <v>4342105</v>
      </c>
      <c r="K32" s="173"/>
      <c r="L32" s="173"/>
      <c r="M32" s="173"/>
    </row>
    <row r="33" spans="1:13" s="6" customFormat="1" ht="21.75" customHeight="1">
      <c r="A33" s="205"/>
      <c r="B33" s="205"/>
      <c r="C33" s="181"/>
      <c r="D33" s="188">
        <f>J33+H33</f>
        <v>2156760</v>
      </c>
      <c r="E33" s="183" t="s">
        <v>491</v>
      </c>
      <c r="F33" s="189"/>
      <c r="G33" s="114"/>
      <c r="H33" s="328">
        <v>714200</v>
      </c>
      <c r="I33" s="181"/>
      <c r="J33" s="524">
        <f>1313760+128800</f>
        <v>1442560</v>
      </c>
      <c r="K33" s="173"/>
      <c r="L33" s="173"/>
      <c r="M33" s="173"/>
    </row>
    <row r="34" spans="1:13" s="6" customFormat="1" ht="21.75" customHeight="1">
      <c r="A34" s="205"/>
      <c r="B34" s="205"/>
      <c r="C34" s="181"/>
      <c r="D34" s="188">
        <f>J34+H34</f>
        <v>378020</v>
      </c>
      <c r="E34" s="183" t="s">
        <v>494</v>
      </c>
      <c r="F34" s="189"/>
      <c r="G34" s="114"/>
      <c r="H34" s="328">
        <v>373400</v>
      </c>
      <c r="I34" s="181"/>
      <c r="J34" s="185">
        <v>4620</v>
      </c>
      <c r="K34" s="173"/>
      <c r="L34" s="173"/>
      <c r="M34" s="173"/>
    </row>
    <row r="35" spans="1:13" s="6" customFormat="1" ht="21.75" customHeight="1">
      <c r="A35" s="205"/>
      <c r="B35" s="205"/>
      <c r="C35" s="181"/>
      <c r="D35" s="188">
        <f>J35+H35</f>
        <v>11445</v>
      </c>
      <c r="E35" s="183" t="s">
        <v>443</v>
      </c>
      <c r="F35" s="189"/>
      <c r="G35" s="114"/>
      <c r="H35" s="328">
        <v>0</v>
      </c>
      <c r="I35" s="181"/>
      <c r="J35" s="185">
        <v>11445</v>
      </c>
      <c r="K35" s="173"/>
      <c r="L35" s="173"/>
      <c r="M35" s="173"/>
    </row>
    <row r="36" spans="1:13" s="175" customFormat="1" ht="21.75" customHeight="1">
      <c r="A36" s="504">
        <f>SUM(A11:A35)</f>
        <v>35000000</v>
      </c>
      <c r="B36" s="495">
        <f>SUM(B11:B35)</f>
        <v>9879805</v>
      </c>
      <c r="C36" s="495">
        <f>SUM(C11:C35)</f>
        <v>44879805</v>
      </c>
      <c r="D36" s="495">
        <f>SUM(D11:D35)</f>
        <v>42025096.86</v>
      </c>
      <c r="E36" s="492" t="s">
        <v>24</v>
      </c>
      <c r="F36" s="493"/>
      <c r="G36" s="494"/>
      <c r="H36" s="330">
        <f>SUM(H11:H35)</f>
        <v>5847166.29</v>
      </c>
      <c r="I36" s="190" t="s">
        <v>7</v>
      </c>
      <c r="J36" s="356">
        <f>SUM(J11:J35)</f>
        <v>36177930.57</v>
      </c>
      <c r="K36" s="173">
        <f>D36-J36</f>
        <v>5847166.289999999</v>
      </c>
      <c r="L36" s="174"/>
      <c r="M36" s="174"/>
    </row>
    <row r="37" spans="1:13" s="2" customFormat="1" ht="30" customHeight="1" thickBot="1">
      <c r="A37" s="562" t="s">
        <v>71</v>
      </c>
      <c r="B37" s="562"/>
      <c r="C37" s="562"/>
      <c r="D37" s="562"/>
      <c r="E37" s="562"/>
      <c r="F37" s="562"/>
      <c r="G37" s="562"/>
      <c r="H37" s="562"/>
      <c r="I37" s="3"/>
      <c r="J37" s="98"/>
      <c r="K37" s="4"/>
      <c r="L37" s="4"/>
      <c r="M37" s="4"/>
    </row>
    <row r="38" spans="1:13" s="103" customFormat="1" ht="24" customHeight="1" thickTop="1">
      <c r="A38" s="557" t="s">
        <v>10</v>
      </c>
      <c r="B38" s="558"/>
      <c r="C38" s="558"/>
      <c r="D38" s="558"/>
      <c r="E38" s="447"/>
      <c r="F38" s="448"/>
      <c r="G38" s="312"/>
      <c r="H38" s="446" t="s">
        <v>6</v>
      </c>
      <c r="I38" s="106"/>
      <c r="J38" s="261"/>
      <c r="K38" s="120"/>
      <c r="L38" s="120"/>
      <c r="M38" s="120"/>
    </row>
    <row r="39" spans="1:13" s="103" customFormat="1" ht="24" customHeight="1">
      <c r="A39" s="262" t="s">
        <v>12</v>
      </c>
      <c r="B39" s="115" t="s">
        <v>385</v>
      </c>
      <c r="C39" s="15"/>
      <c r="D39" s="10" t="s">
        <v>13</v>
      </c>
      <c r="E39" s="129"/>
      <c r="F39" s="449"/>
      <c r="G39" s="101" t="s">
        <v>14</v>
      </c>
      <c r="H39" s="17" t="s">
        <v>11</v>
      </c>
      <c r="I39" s="106"/>
      <c r="J39" s="261"/>
      <c r="K39" s="120"/>
      <c r="L39" s="120"/>
      <c r="M39" s="120"/>
    </row>
    <row r="40" spans="1:13" s="103" customFormat="1" ht="24" customHeight="1">
      <c r="A40" s="161" t="s">
        <v>15</v>
      </c>
      <c r="B40" s="115" t="s">
        <v>386</v>
      </c>
      <c r="C40" s="17" t="s">
        <v>74</v>
      </c>
      <c r="D40" s="10" t="s">
        <v>15</v>
      </c>
      <c r="E40" s="546" t="s">
        <v>1</v>
      </c>
      <c r="F40" s="547"/>
      <c r="G40" s="101" t="s">
        <v>16</v>
      </c>
      <c r="H40" s="17" t="s">
        <v>13</v>
      </c>
      <c r="I40" s="106"/>
      <c r="J40" s="261"/>
      <c r="K40" s="120"/>
      <c r="L40" s="120"/>
      <c r="M40" s="120"/>
    </row>
    <row r="41" spans="1:13" s="103" customFormat="1" ht="24" customHeight="1" thickBot="1">
      <c r="A41" s="263"/>
      <c r="B41" s="443" t="s">
        <v>388</v>
      </c>
      <c r="C41" s="18" t="s">
        <v>387</v>
      </c>
      <c r="D41" s="11"/>
      <c r="E41" s="100"/>
      <c r="F41" s="203"/>
      <c r="G41" s="264"/>
      <c r="H41" s="17" t="s">
        <v>387</v>
      </c>
      <c r="I41" s="106"/>
      <c r="J41" s="261"/>
      <c r="K41" s="120"/>
      <c r="L41" s="120"/>
      <c r="M41" s="120"/>
    </row>
    <row r="42" spans="1:13" s="6" customFormat="1" ht="24" customHeight="1" thickTop="1">
      <c r="A42" s="195"/>
      <c r="B42" s="191"/>
      <c r="C42" s="191"/>
      <c r="D42" s="191"/>
      <c r="E42" s="192" t="s">
        <v>25</v>
      </c>
      <c r="F42" s="193"/>
      <c r="G42" s="194"/>
      <c r="H42" s="195"/>
      <c r="I42" s="181"/>
      <c r="J42" s="182"/>
      <c r="K42" s="173"/>
      <c r="L42" s="173"/>
      <c r="M42" s="173"/>
    </row>
    <row r="43" spans="1:13" s="354" customFormat="1" ht="24" customHeight="1">
      <c r="A43" s="180">
        <f>970000</f>
        <v>970000</v>
      </c>
      <c r="B43" s="176"/>
      <c r="C43" s="176"/>
      <c r="D43" s="176">
        <f>H43+J43</f>
        <v>592705.5</v>
      </c>
      <c r="E43" s="183" t="s">
        <v>142</v>
      </c>
      <c r="F43" s="203"/>
      <c r="G43" s="196" t="s">
        <v>215</v>
      </c>
      <c r="H43" s="180">
        <v>22881</v>
      </c>
      <c r="I43" s="351"/>
      <c r="J43" s="352">
        <v>569824.5</v>
      </c>
      <c r="K43" s="353"/>
      <c r="L43" s="353"/>
      <c r="M43" s="353"/>
    </row>
    <row r="44" spans="1:13" s="6" customFormat="1" ht="24" customHeight="1">
      <c r="A44" s="180">
        <v>2916720</v>
      </c>
      <c r="B44" s="176"/>
      <c r="C44" s="176"/>
      <c r="D44" s="176">
        <f>H44+J44</f>
        <v>1939370</v>
      </c>
      <c r="E44" s="197" t="s">
        <v>276</v>
      </c>
      <c r="G44" s="196" t="s">
        <v>216</v>
      </c>
      <c r="H44" s="180">
        <v>237950</v>
      </c>
      <c r="I44" s="181"/>
      <c r="J44" s="214">
        <v>1701420</v>
      </c>
      <c r="L44" s="173"/>
      <c r="M44" s="173"/>
    </row>
    <row r="45" spans="1:13" s="6" customFormat="1" ht="24" customHeight="1">
      <c r="A45" s="180">
        <f>3168000+1240000+872000+960000+194000+210000+1800000+712000+215000+180000+740000-24000-18000-98718</f>
        <v>10150282</v>
      </c>
      <c r="B45" s="176"/>
      <c r="C45" s="176"/>
      <c r="D45" s="176">
        <f aca="true" t="shared" si="4" ref="D45:D53">H45+J45</f>
        <v>4229933</v>
      </c>
      <c r="E45" s="197" t="s">
        <v>355</v>
      </c>
      <c r="G45" s="196"/>
      <c r="H45" s="180">
        <f>327550+32140+172675</f>
        <v>532365</v>
      </c>
      <c r="I45" s="181"/>
      <c r="J45" s="214">
        <v>3697568</v>
      </c>
      <c r="K45" s="173"/>
      <c r="L45" s="173"/>
      <c r="M45" s="173"/>
    </row>
    <row r="46" spans="1:13" s="6" customFormat="1" ht="24" customHeight="1">
      <c r="A46" s="180">
        <f>425000+224000+111000+50000+186000-200000-45000-100000-18000-12000-33000-50000-40000-5000-30000-10000-44329-11500+24000</f>
        <v>421171</v>
      </c>
      <c r="B46" s="176"/>
      <c r="C46" s="176"/>
      <c r="D46" s="176">
        <f t="shared" si="4"/>
        <v>121050</v>
      </c>
      <c r="E46" s="197" t="s">
        <v>28</v>
      </c>
      <c r="G46" s="196" t="s">
        <v>217</v>
      </c>
      <c r="H46" s="180">
        <f>'ใบผ่านมาตรฐาน 1, 2'!F50</f>
        <v>7000</v>
      </c>
      <c r="I46" s="181"/>
      <c r="J46" s="214">
        <v>114050</v>
      </c>
      <c r="K46" s="173"/>
      <c r="L46" s="173"/>
      <c r="M46" s="173"/>
    </row>
    <row r="47" spans="1:13" s="6" customFormat="1" ht="24" customHeight="1">
      <c r="A47" s="180">
        <f>835000+345000+80000+185000+500000+160000+290000+470000+610000+10000+40000+10000+20000+120000+149000-30000-65000+50000-50000+40000-100000+100000+50000-50000+130144-85815+11500</f>
        <v>3824829</v>
      </c>
      <c r="B47" s="176"/>
      <c r="C47" s="176"/>
      <c r="D47" s="176">
        <f t="shared" si="4"/>
        <v>1460112.55</v>
      </c>
      <c r="E47" s="197" t="s">
        <v>29</v>
      </c>
      <c r="G47" s="196" t="s">
        <v>218</v>
      </c>
      <c r="H47" s="180">
        <v>644972</v>
      </c>
      <c r="I47" s="181"/>
      <c r="J47" s="214">
        <v>815140.55</v>
      </c>
      <c r="K47" s="173">
        <f>SUM(H43:H49)</f>
        <v>1534226.76</v>
      </c>
      <c r="L47" s="173"/>
      <c r="M47" s="173"/>
    </row>
    <row r="48" spans="1:13" s="6" customFormat="1" ht="24" customHeight="1">
      <c r="A48" s="180">
        <f>455000+85000+100000+20000+1240000+100000+140000+100000+50000</f>
        <v>2290000</v>
      </c>
      <c r="B48" s="176"/>
      <c r="C48" s="176"/>
      <c r="D48" s="176">
        <f>H48+J48</f>
        <v>1030467.8400000001</v>
      </c>
      <c r="E48" s="197" t="s">
        <v>30</v>
      </c>
      <c r="G48" s="196" t="s">
        <v>219</v>
      </c>
      <c r="H48" s="180">
        <f>'ใบผ่านมาตรฐาน 1, 2'!F52</f>
        <v>45916.67</v>
      </c>
      <c r="I48" s="181"/>
      <c r="J48" s="214">
        <v>984551.17</v>
      </c>
      <c r="K48" s="173"/>
      <c r="L48" s="173"/>
      <c r="M48" s="173"/>
    </row>
    <row r="49" spans="1:13" s="6" customFormat="1" ht="24" customHeight="1">
      <c r="A49" s="180">
        <f>475000+20000+15000</f>
        <v>510000</v>
      </c>
      <c r="B49" s="176"/>
      <c r="C49" s="176"/>
      <c r="D49" s="176">
        <f>H49+J49</f>
        <v>287789.13</v>
      </c>
      <c r="E49" s="197" t="s">
        <v>31</v>
      </c>
      <c r="G49" s="196" t="s">
        <v>220</v>
      </c>
      <c r="H49" s="180">
        <f>'ใบผ่านมาตรฐาน 1, 2'!F53</f>
        <v>43142.09</v>
      </c>
      <c r="I49" s="181"/>
      <c r="J49" s="214">
        <v>244647.04</v>
      </c>
      <c r="K49" s="173"/>
      <c r="L49" s="173"/>
      <c r="M49" s="173"/>
    </row>
    <row r="50" spans="1:13" s="354" customFormat="1" ht="24" customHeight="1">
      <c r="A50" s="180">
        <f>55000+61000+100000+320000+200000+45000+118000+12000+33000+111000+50000+18000</f>
        <v>1123000</v>
      </c>
      <c r="B50" s="176"/>
      <c r="C50" s="176"/>
      <c r="D50" s="176">
        <f>H50+J50</f>
        <v>361834.37</v>
      </c>
      <c r="E50" s="197" t="s">
        <v>127</v>
      </c>
      <c r="F50" s="6"/>
      <c r="G50" s="196" t="s">
        <v>221</v>
      </c>
      <c r="H50" s="180">
        <f>'ใบผ่านมาตรฐาน 1, 2'!F54</f>
        <v>19430</v>
      </c>
      <c r="I50" s="351"/>
      <c r="J50" s="352">
        <v>342404.37</v>
      </c>
      <c r="K50" s="353"/>
      <c r="L50" s="457" t="s">
        <v>398</v>
      </c>
      <c r="M50" s="457" t="s">
        <v>399</v>
      </c>
    </row>
    <row r="51" spans="1:13" s="354" customFormat="1" ht="24" customHeight="1">
      <c r="A51" s="180">
        <f>400000+5609580+4695700-50000-100000</f>
        <v>10555280</v>
      </c>
      <c r="B51" s="176"/>
      <c r="C51" s="176"/>
      <c r="D51" s="176">
        <f>H51+J51</f>
        <v>20000</v>
      </c>
      <c r="E51" s="197" t="s">
        <v>32</v>
      </c>
      <c r="F51" s="6"/>
      <c r="G51" s="196" t="s">
        <v>209</v>
      </c>
      <c r="H51" s="180">
        <v>0</v>
      </c>
      <c r="I51" s="351"/>
      <c r="J51" s="352">
        <v>20000</v>
      </c>
      <c r="K51" s="353"/>
      <c r="L51" s="353">
        <f>SUM(H41:H53)</f>
        <v>1553656.76</v>
      </c>
      <c r="M51" s="353">
        <f>SUM(D41:D53)</f>
        <v>11057262.39</v>
      </c>
    </row>
    <row r="52" spans="1:13" s="6" customFormat="1" ht="24" customHeight="1">
      <c r="A52" s="180">
        <f>20000-9000-11000</f>
        <v>0</v>
      </c>
      <c r="B52" s="176"/>
      <c r="C52" s="176"/>
      <c r="D52" s="176">
        <f>H52+J52</f>
        <v>0</v>
      </c>
      <c r="E52" s="183" t="s">
        <v>204</v>
      </c>
      <c r="G52" s="114" t="s">
        <v>223</v>
      </c>
      <c r="H52" s="180">
        <v>0</v>
      </c>
      <c r="I52" s="181"/>
      <c r="J52" s="185">
        <v>0</v>
      </c>
      <c r="K52" s="173"/>
      <c r="L52" s="173"/>
      <c r="M52" s="173"/>
    </row>
    <row r="53" spans="1:13" s="354" customFormat="1" ht="24" customHeight="1">
      <c r="A53" s="180">
        <f>50000+1940000+150000+98718</f>
        <v>2238718</v>
      </c>
      <c r="B53" s="176"/>
      <c r="C53" s="176"/>
      <c r="D53" s="176">
        <f t="shared" si="4"/>
        <v>1014000</v>
      </c>
      <c r="E53" s="197" t="s">
        <v>23</v>
      </c>
      <c r="F53" s="6"/>
      <c r="G53" s="196" t="s">
        <v>222</v>
      </c>
      <c r="H53" s="180">
        <v>0</v>
      </c>
      <c r="I53" s="351"/>
      <c r="J53" s="352">
        <v>1014000</v>
      </c>
      <c r="K53" s="353"/>
      <c r="L53" s="353"/>
      <c r="M53" s="353"/>
    </row>
    <row r="54" spans="1:13" s="6" customFormat="1" ht="21" customHeight="1">
      <c r="A54" s="205"/>
      <c r="B54" s="205"/>
      <c r="C54" s="181"/>
      <c r="D54" s="188">
        <f>H54+J54</f>
        <v>8837722.690000001</v>
      </c>
      <c r="E54" s="197" t="s">
        <v>33</v>
      </c>
      <c r="G54" s="114" t="s">
        <v>200</v>
      </c>
      <c r="H54" s="180">
        <v>938000</v>
      </c>
      <c r="I54" s="181"/>
      <c r="J54" s="185">
        <v>7899722.69</v>
      </c>
      <c r="K54" s="173"/>
      <c r="L54" s="173"/>
      <c r="M54" s="173"/>
    </row>
    <row r="55" spans="1:13" s="6" customFormat="1" ht="24" customHeight="1">
      <c r="A55" s="205"/>
      <c r="B55" s="205"/>
      <c r="C55" s="181"/>
      <c r="D55" s="188">
        <f>J55+H55</f>
        <v>5056305</v>
      </c>
      <c r="E55" s="183" t="s">
        <v>267</v>
      </c>
      <c r="G55" s="114" t="s">
        <v>199</v>
      </c>
      <c r="H55" s="180">
        <v>714200</v>
      </c>
      <c r="I55" s="181"/>
      <c r="J55" s="185">
        <f>2016545+883000+640700+72390+729470</f>
        <v>4342105</v>
      </c>
      <c r="K55" s="173"/>
      <c r="L55" s="173"/>
      <c r="M55" s="173"/>
    </row>
    <row r="56" spans="1:13" s="6" customFormat="1" ht="24" customHeight="1">
      <c r="A56" s="205"/>
      <c r="B56" s="205"/>
      <c r="C56" s="181"/>
      <c r="D56" s="188">
        <f>J56+H56</f>
        <v>378020</v>
      </c>
      <c r="E56" s="183" t="s">
        <v>168</v>
      </c>
      <c r="G56" s="114"/>
      <c r="H56" s="180">
        <v>238200</v>
      </c>
      <c r="I56" s="181"/>
      <c r="J56" s="185">
        <v>139820</v>
      </c>
      <c r="K56" s="173"/>
      <c r="L56" s="173"/>
      <c r="M56" s="173"/>
    </row>
    <row r="57" spans="1:13" s="6" customFormat="1" ht="24" customHeight="1">
      <c r="A57" s="205"/>
      <c r="B57" s="205"/>
      <c r="C57" s="181"/>
      <c r="D57" s="188">
        <f>J57+H57</f>
        <v>4800600.99</v>
      </c>
      <c r="E57" s="197" t="s">
        <v>395</v>
      </c>
      <c r="G57" s="114" t="s">
        <v>225</v>
      </c>
      <c r="H57" s="180">
        <v>0</v>
      </c>
      <c r="I57" s="181"/>
      <c r="J57" s="185">
        <v>4800600.99</v>
      </c>
      <c r="K57" s="173"/>
      <c r="L57" s="173"/>
      <c r="M57" s="173"/>
    </row>
    <row r="58" spans="1:13" s="6" customFormat="1" ht="24" customHeight="1">
      <c r="A58" s="205" t="s">
        <v>7</v>
      </c>
      <c r="B58" s="205"/>
      <c r="C58" s="181"/>
      <c r="D58" s="188">
        <f>H58+J58</f>
        <v>2083597.54</v>
      </c>
      <c r="E58" s="197" t="s">
        <v>394</v>
      </c>
      <c r="G58" s="114" t="s">
        <v>208</v>
      </c>
      <c r="H58" s="328">
        <f>'หมายเหตุ2  '!E17</f>
        <v>96489.6</v>
      </c>
      <c r="I58" s="181"/>
      <c r="J58" s="185">
        <v>1987107.94</v>
      </c>
      <c r="K58" s="173"/>
      <c r="L58" s="173"/>
      <c r="M58" s="173"/>
    </row>
    <row r="59" spans="1:14" s="6" customFormat="1" ht="21" customHeight="1">
      <c r="A59" s="405"/>
      <c r="B59" s="405">
        <f>D59</f>
        <v>7935735</v>
      </c>
      <c r="C59" s="187">
        <f>J59+H59</f>
        <v>7935735</v>
      </c>
      <c r="D59" s="496">
        <f aca="true" t="shared" si="5" ref="D59:D66">J59+H59</f>
        <v>7935735</v>
      </c>
      <c r="E59" s="197" t="s">
        <v>439</v>
      </c>
      <c r="G59" s="114" t="s">
        <v>224</v>
      </c>
      <c r="H59" s="497">
        <f>799500+180800+570</f>
        <v>980870</v>
      </c>
      <c r="I59" s="187"/>
      <c r="J59" s="216">
        <v>6954865</v>
      </c>
      <c r="K59" s="173"/>
      <c r="L59" s="173"/>
      <c r="M59" s="173"/>
      <c r="N59" s="199"/>
    </row>
    <row r="60" spans="1:14" s="6" customFormat="1" ht="21" customHeight="1">
      <c r="A60" s="405"/>
      <c r="B60" s="405">
        <f>D60</f>
        <v>576040</v>
      </c>
      <c r="C60" s="187">
        <f>J60+H60</f>
        <v>576040</v>
      </c>
      <c r="D60" s="496">
        <f t="shared" si="5"/>
        <v>576040</v>
      </c>
      <c r="E60" s="198" t="s">
        <v>440</v>
      </c>
      <c r="F60" s="181"/>
      <c r="G60" s="114"/>
      <c r="H60" s="405">
        <f>60150+11400</f>
        <v>71550</v>
      </c>
      <c r="I60" s="187"/>
      <c r="J60" s="216">
        <v>504490</v>
      </c>
      <c r="K60" s="173"/>
      <c r="L60" s="173"/>
      <c r="M60" s="173"/>
      <c r="N60" s="199"/>
    </row>
    <row r="61" spans="1:14" s="6" customFormat="1" ht="24" customHeight="1">
      <c r="A61" s="405"/>
      <c r="B61" s="405">
        <f>D61</f>
        <v>54600</v>
      </c>
      <c r="C61" s="187">
        <f>J61+H61</f>
        <v>54600</v>
      </c>
      <c r="D61" s="188">
        <f t="shared" si="5"/>
        <v>54600</v>
      </c>
      <c r="E61" s="198" t="s">
        <v>441</v>
      </c>
      <c r="F61" s="181"/>
      <c r="G61" s="114"/>
      <c r="H61" s="405">
        <v>0</v>
      </c>
      <c r="I61" s="187"/>
      <c r="J61" s="216">
        <v>54600</v>
      </c>
      <c r="K61" s="173"/>
      <c r="L61" s="173"/>
      <c r="M61" s="173"/>
      <c r="N61" s="199"/>
    </row>
    <row r="62" spans="1:14" s="6" customFormat="1" ht="24" customHeight="1">
      <c r="A62" s="405"/>
      <c r="B62" s="405">
        <f>D62</f>
        <v>1070000</v>
      </c>
      <c r="C62" s="187">
        <f>J62+H62</f>
        <v>1070000</v>
      </c>
      <c r="D62" s="188">
        <f t="shared" si="5"/>
        <v>1070000</v>
      </c>
      <c r="E62" s="197" t="s">
        <v>462</v>
      </c>
      <c r="G62" s="114"/>
      <c r="H62" s="405">
        <v>0</v>
      </c>
      <c r="I62" s="187"/>
      <c r="J62" s="216">
        <v>1070000</v>
      </c>
      <c r="K62" s="173"/>
      <c r="L62" s="173"/>
      <c r="M62" s="173"/>
      <c r="N62" s="199"/>
    </row>
    <row r="63" spans="1:13" s="6" customFormat="1" ht="24" customHeight="1">
      <c r="A63" s="205"/>
      <c r="B63" s="205"/>
      <c r="C63" s="214">
        <f>J63+H63</f>
        <v>2147960</v>
      </c>
      <c r="D63" s="188">
        <f>J63+H63</f>
        <v>2147960</v>
      </c>
      <c r="E63" s="550" t="s">
        <v>464</v>
      </c>
      <c r="F63" s="551"/>
      <c r="G63" s="114"/>
      <c r="H63" s="180">
        <v>705400</v>
      </c>
      <c r="I63" s="181"/>
      <c r="J63" s="185">
        <f>2155650-713090</f>
        <v>1442560</v>
      </c>
      <c r="K63" s="173"/>
      <c r="L63" s="173"/>
      <c r="M63" s="173"/>
    </row>
    <row r="64" spans="1:13" s="6" customFormat="1" ht="24" customHeight="1">
      <c r="A64" s="205"/>
      <c r="B64" s="405">
        <f>C64</f>
        <v>10900</v>
      </c>
      <c r="C64" s="187">
        <f>D64</f>
        <v>10900</v>
      </c>
      <c r="D64" s="188">
        <f t="shared" si="5"/>
        <v>10900</v>
      </c>
      <c r="E64" s="183" t="s">
        <v>433</v>
      </c>
      <c r="F64" s="184"/>
      <c r="G64" s="114"/>
      <c r="H64" s="328">
        <v>0</v>
      </c>
      <c r="I64" s="181"/>
      <c r="J64" s="185">
        <v>10900</v>
      </c>
      <c r="K64" s="173"/>
      <c r="L64" s="173"/>
      <c r="M64" s="173"/>
    </row>
    <row r="65" spans="1:13" s="6" customFormat="1" ht="24" customHeight="1">
      <c r="A65" s="205"/>
      <c r="B65" s="405">
        <f>C65</f>
        <v>545</v>
      </c>
      <c r="C65" s="187">
        <f>D65</f>
        <v>545</v>
      </c>
      <c r="D65" s="188">
        <f>J65+H65</f>
        <v>545</v>
      </c>
      <c r="E65" s="183" t="s">
        <v>437</v>
      </c>
      <c r="F65" s="184"/>
      <c r="G65" s="114"/>
      <c r="H65" s="328">
        <v>0</v>
      </c>
      <c r="I65" s="181"/>
      <c r="J65" s="185">
        <v>545</v>
      </c>
      <c r="K65" s="173"/>
      <c r="L65" s="173"/>
      <c r="M65" s="173"/>
    </row>
    <row r="66" spans="1:13" s="6" customFormat="1" ht="24" customHeight="1">
      <c r="A66" s="205"/>
      <c r="B66" s="205"/>
      <c r="C66" s="181"/>
      <c r="D66" s="188">
        <f t="shared" si="5"/>
        <v>53020</v>
      </c>
      <c r="E66" s="183" t="s">
        <v>451</v>
      </c>
      <c r="F66" s="184"/>
      <c r="G66" s="114"/>
      <c r="H66" s="451">
        <v>0</v>
      </c>
      <c r="I66" s="453"/>
      <c r="J66" s="201">
        <v>53020</v>
      </c>
      <c r="K66" s="173"/>
      <c r="L66" s="173"/>
      <c r="M66" s="173"/>
    </row>
    <row r="67" spans="1:14" s="6" customFormat="1" ht="24" customHeight="1" thickBot="1">
      <c r="A67" s="186">
        <f>SUM(A43:A65)</f>
        <v>35000000</v>
      </c>
      <c r="B67" s="186">
        <f>SUM(B43:B65)</f>
        <v>9647820</v>
      </c>
      <c r="C67" s="186">
        <f>SUM(C43:C65)</f>
        <v>11795780</v>
      </c>
      <c r="D67" s="450">
        <f>SUM(D43:D66)</f>
        <v>44062308.61</v>
      </c>
      <c r="E67" s="548" t="s">
        <v>396</v>
      </c>
      <c r="F67" s="549"/>
      <c r="G67" s="114"/>
      <c r="H67" s="329">
        <f>SUM(H43:H66)</f>
        <v>5298366.359999999</v>
      </c>
      <c r="I67" s="452"/>
      <c r="J67" s="202">
        <f>SUM(J43:J66)</f>
        <v>38763942.25</v>
      </c>
      <c r="K67" s="173"/>
      <c r="L67" s="173"/>
      <c r="M67" s="173">
        <v>23624516.17</v>
      </c>
      <c r="N67" s="199">
        <f>M67-J67</f>
        <v>-15139426.079999998</v>
      </c>
    </row>
    <row r="68" spans="1:13" s="6" customFormat="1" ht="24" customHeight="1" thickTop="1">
      <c r="A68" s="181"/>
      <c r="B68" s="181"/>
      <c r="C68" s="181"/>
      <c r="D68" s="405">
        <v>0</v>
      </c>
      <c r="E68" s="548" t="s">
        <v>115</v>
      </c>
      <c r="F68" s="549"/>
      <c r="G68" s="114"/>
      <c r="H68" s="405">
        <f>H36-H67</f>
        <v>548799.9300000006</v>
      </c>
      <c r="I68" s="181"/>
      <c r="J68" s="204">
        <v>0</v>
      </c>
      <c r="K68" s="173"/>
      <c r="L68" s="173"/>
      <c r="M68" s="173"/>
    </row>
    <row r="69" spans="1:13" s="6" customFormat="1" ht="24" customHeight="1">
      <c r="A69" s="181"/>
      <c r="B69" s="181"/>
      <c r="C69" s="181"/>
      <c r="D69" s="205"/>
      <c r="E69" s="548" t="s">
        <v>34</v>
      </c>
      <c r="F69" s="549"/>
      <c r="G69" s="114"/>
      <c r="H69" s="180"/>
      <c r="I69" s="181"/>
      <c r="J69" s="182"/>
      <c r="K69" s="173"/>
      <c r="L69" s="173"/>
      <c r="M69" s="173"/>
    </row>
    <row r="70" spans="1:13" s="6" customFormat="1" ht="24" customHeight="1">
      <c r="A70" s="181"/>
      <c r="B70" s="181"/>
      <c r="C70" s="181"/>
      <c r="D70" s="200">
        <f>D36-D67</f>
        <v>-2037211.75</v>
      </c>
      <c r="E70" s="548" t="s">
        <v>116</v>
      </c>
      <c r="F70" s="549"/>
      <c r="G70" s="114"/>
      <c r="H70" s="301">
        <v>0</v>
      </c>
      <c r="I70" s="254"/>
      <c r="J70" s="202">
        <f>J36-J67</f>
        <v>-2586011.6799999997</v>
      </c>
      <c r="K70" s="173"/>
      <c r="L70" s="173"/>
      <c r="M70" s="173"/>
    </row>
    <row r="71" spans="1:13" s="175" customFormat="1" ht="24" customHeight="1">
      <c r="A71" s="357"/>
      <c r="B71" s="357"/>
      <c r="C71" s="357"/>
      <c r="D71" s="206">
        <f>D9+D36-D67</f>
        <v>40918084.05</v>
      </c>
      <c r="E71" s="553" t="s">
        <v>35</v>
      </c>
      <c r="F71" s="554"/>
      <c r="G71" s="113"/>
      <c r="H71" s="207">
        <f>H9+H36-H67</f>
        <v>40918084.05</v>
      </c>
      <c r="I71" s="255" t="s">
        <v>7</v>
      </c>
      <c r="J71" s="207">
        <f>J9+J36-J67</f>
        <v>40369284.120000005</v>
      </c>
      <c r="K71" s="173"/>
      <c r="L71" s="174">
        <v>0</v>
      </c>
      <c r="M71" s="174">
        <f>L71-J71</f>
        <v>-40369284.120000005</v>
      </c>
    </row>
    <row r="72" spans="1:13" s="103" customFormat="1" ht="21.75" customHeight="1">
      <c r="A72" s="311">
        <f>H71-D71</f>
        <v>0</v>
      </c>
      <c r="B72" s="311"/>
      <c r="C72" s="311"/>
      <c r="F72" s="131"/>
      <c r="G72" s="542"/>
      <c r="H72" s="542"/>
      <c r="I72" s="106"/>
      <c r="J72" s="244">
        <f>'งบทดลอง '!F6</f>
        <v>40918084.050000004</v>
      </c>
      <c r="K72" s="120"/>
      <c r="L72" s="120"/>
      <c r="M72" s="120"/>
    </row>
    <row r="73" spans="1:13" s="103" customFormat="1" ht="24" customHeight="1">
      <c r="A73" s="552"/>
      <c r="B73" s="552"/>
      <c r="C73" s="552"/>
      <c r="D73" s="552"/>
      <c r="E73" s="543">
        <f>D71-H71</f>
        <v>0</v>
      </c>
      <c r="F73" s="543"/>
      <c r="G73" s="542"/>
      <c r="H73" s="542"/>
      <c r="I73" s="106"/>
      <c r="J73" s="244"/>
      <c r="K73" s="120">
        <f>J72-D71</f>
        <v>0</v>
      </c>
      <c r="L73" s="120"/>
      <c r="M73" s="120"/>
    </row>
    <row r="74" spans="1:13" s="103" customFormat="1" ht="21" customHeight="1">
      <c r="A74" s="552"/>
      <c r="B74" s="552"/>
      <c r="C74" s="552"/>
      <c r="D74" s="552"/>
      <c r="E74" s="555">
        <f>H71-J72</f>
        <v>0</v>
      </c>
      <c r="F74" s="552"/>
      <c r="G74" s="542"/>
      <c r="H74" s="542"/>
      <c r="I74" s="106"/>
      <c r="J74" s="245">
        <f>J72-H71</f>
        <v>0</v>
      </c>
      <c r="K74" s="120"/>
      <c r="L74" s="120"/>
      <c r="M74" s="120"/>
    </row>
    <row r="75" spans="1:13" s="103" customFormat="1" ht="30.75" customHeight="1">
      <c r="A75" s="131"/>
      <c r="B75" s="131"/>
      <c r="C75" s="131"/>
      <c r="D75" s="131"/>
      <c r="E75" s="131"/>
      <c r="F75" s="131"/>
      <c r="G75" s="257"/>
      <c r="H75" s="257"/>
      <c r="I75" s="106"/>
      <c r="J75" s="245">
        <v>0</v>
      </c>
      <c r="K75" s="120">
        <v>0</v>
      </c>
      <c r="L75" s="120"/>
      <c r="M75" s="120"/>
    </row>
    <row r="82" ht="26.25">
      <c r="J82" s="517"/>
    </row>
  </sheetData>
  <sheetProtection/>
  <mergeCells count="24">
    <mergeCell ref="A1:H1"/>
    <mergeCell ref="A2:H2"/>
    <mergeCell ref="A38:D38"/>
    <mergeCell ref="F4:H4"/>
    <mergeCell ref="A5:D5"/>
    <mergeCell ref="A37:H37"/>
    <mergeCell ref="E5:F5"/>
    <mergeCell ref="A3:H3"/>
    <mergeCell ref="A73:D73"/>
    <mergeCell ref="E68:F68"/>
    <mergeCell ref="E71:F71"/>
    <mergeCell ref="E69:F69"/>
    <mergeCell ref="E70:F70"/>
    <mergeCell ref="A74:D74"/>
    <mergeCell ref="E74:F74"/>
    <mergeCell ref="G74:H74"/>
    <mergeCell ref="G72:H72"/>
    <mergeCell ref="E73:F73"/>
    <mergeCell ref="G73:H73"/>
    <mergeCell ref="E6:F6"/>
    <mergeCell ref="E7:F7"/>
    <mergeCell ref="E40:F40"/>
    <mergeCell ref="E67:F67"/>
    <mergeCell ref="E63:F63"/>
  </mergeCells>
  <printOptions/>
  <pageMargins left="0.1" right="0.01" top="0.02" bottom="0.02" header="0.27" footer="0"/>
  <pageSetup horizontalDpi="600" verticalDpi="600" orientation="portrait" paperSize="9" scale="90" r:id="rId1"/>
  <rowBreaks count="1" manualBreakCount="1">
    <brk id="36" max="1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120"/>
  <sheetViews>
    <sheetView zoomScale="90" zoomScaleNormal="90" zoomScalePageLayoutView="0" workbookViewId="0" topLeftCell="A106">
      <selection activeCell="H66" sqref="H66"/>
    </sheetView>
  </sheetViews>
  <sheetFormatPr defaultColWidth="9.140625" defaultRowHeight="21.75"/>
  <cols>
    <col min="1" max="1" width="1.57421875" style="20" customWidth="1"/>
    <col min="2" max="2" width="3.7109375" style="20" customWidth="1"/>
    <col min="3" max="3" width="52.7109375" style="20" customWidth="1"/>
    <col min="4" max="4" width="9.421875" style="20" customWidth="1"/>
    <col min="5" max="5" width="14.7109375" style="21" customWidth="1"/>
    <col min="6" max="6" width="15.421875" style="21" customWidth="1"/>
    <col min="7" max="7" width="17.140625" style="21" customWidth="1"/>
    <col min="8" max="8" width="18.00390625" style="20" customWidth="1"/>
    <col min="9" max="9" width="14.28125" style="20" customWidth="1"/>
    <col min="10" max="10" width="13.00390625" style="20" customWidth="1"/>
    <col min="11" max="11" width="16.140625" style="20" customWidth="1"/>
    <col min="12" max="16384" width="9.140625" style="20" customWidth="1"/>
  </cols>
  <sheetData>
    <row r="1" spans="1:6" ht="22.5" customHeight="1">
      <c r="A1" s="476" t="s">
        <v>390</v>
      </c>
      <c r="B1" s="476"/>
      <c r="C1" s="476"/>
      <c r="D1" s="476"/>
      <c r="E1" s="476"/>
      <c r="F1" s="444" t="s">
        <v>391</v>
      </c>
    </row>
    <row r="2" spans="1:7" ht="22.5" customHeight="1">
      <c r="A2" s="568" t="s">
        <v>78</v>
      </c>
      <c r="B2" s="568"/>
      <c r="C2" s="568"/>
      <c r="D2" s="568"/>
      <c r="E2" s="568"/>
      <c r="F2" s="476"/>
      <c r="G2" s="476"/>
    </row>
    <row r="3" spans="1:7" ht="22.5" customHeight="1">
      <c r="A3" s="569" t="s">
        <v>481</v>
      </c>
      <c r="B3" s="569"/>
      <c r="C3" s="569"/>
      <c r="D3" s="569"/>
      <c r="E3" s="569"/>
      <c r="F3" s="521"/>
      <c r="G3" s="521"/>
    </row>
    <row r="4" spans="1:11" s="49" customFormat="1" ht="19.5" customHeight="1">
      <c r="A4" s="44"/>
      <c r="B4" s="45" t="s">
        <v>7</v>
      </c>
      <c r="C4" s="46"/>
      <c r="D4" s="47" t="s">
        <v>5</v>
      </c>
      <c r="E4" s="48" t="s">
        <v>12</v>
      </c>
      <c r="F4" s="48" t="s">
        <v>132</v>
      </c>
      <c r="G4" s="48" t="s">
        <v>133</v>
      </c>
      <c r="H4" s="90" t="s">
        <v>154</v>
      </c>
      <c r="K4" s="42"/>
    </row>
    <row r="5" spans="1:11" ht="19.5" customHeight="1">
      <c r="A5" s="22"/>
      <c r="B5" s="23" t="s">
        <v>79</v>
      </c>
      <c r="D5" s="24"/>
      <c r="E5" s="25"/>
      <c r="F5" s="25"/>
      <c r="G5" s="25"/>
      <c r="H5" s="91"/>
      <c r="K5" s="42"/>
    </row>
    <row r="6" spans="1:8" ht="19.5" customHeight="1">
      <c r="A6" s="26"/>
      <c r="B6" s="23" t="s">
        <v>80</v>
      </c>
      <c r="D6" s="27">
        <v>411000</v>
      </c>
      <c r="E6" s="28" t="s">
        <v>7</v>
      </c>
      <c r="F6" s="28"/>
      <c r="G6" s="28" t="s">
        <v>7</v>
      </c>
      <c r="H6" s="91"/>
    </row>
    <row r="7" spans="1:8" ht="19.5" customHeight="1">
      <c r="A7" s="26"/>
      <c r="B7" s="29" t="s">
        <v>103</v>
      </c>
      <c r="C7" s="20" t="s">
        <v>63</v>
      </c>
      <c r="D7" s="27">
        <v>411001</v>
      </c>
      <c r="E7" s="458">
        <v>750000</v>
      </c>
      <c r="F7" s="28">
        <f>H7+G7</f>
        <v>812878.47</v>
      </c>
      <c r="G7" s="28">
        <v>44630</v>
      </c>
      <c r="H7" s="92">
        <v>768248.47</v>
      </c>
    </row>
    <row r="8" spans="1:8" ht="19.5" customHeight="1">
      <c r="A8" s="26"/>
      <c r="B8" s="29" t="s">
        <v>104</v>
      </c>
      <c r="C8" s="20" t="s">
        <v>64</v>
      </c>
      <c r="D8" s="27">
        <v>411002</v>
      </c>
      <c r="E8" s="28">
        <v>200000</v>
      </c>
      <c r="F8" s="28">
        <f>H8+G8</f>
        <v>131935.11</v>
      </c>
      <c r="G8" s="28">
        <v>10981.71</v>
      </c>
      <c r="H8" s="92">
        <v>120953.4</v>
      </c>
    </row>
    <row r="9" spans="1:8" ht="19.5" customHeight="1">
      <c r="A9" s="26"/>
      <c r="B9" s="29" t="s">
        <v>105</v>
      </c>
      <c r="C9" s="20" t="s">
        <v>65</v>
      </c>
      <c r="D9" s="27">
        <v>411003</v>
      </c>
      <c r="E9" s="28">
        <v>200000</v>
      </c>
      <c r="F9" s="28">
        <f>H9+G9</f>
        <v>188752.36</v>
      </c>
      <c r="G9" s="28">
        <v>801</v>
      </c>
      <c r="H9" s="92">
        <v>187951.36</v>
      </c>
    </row>
    <row r="10" spans="1:10" ht="19.5" customHeight="1">
      <c r="A10" s="26"/>
      <c r="B10" s="29" t="s">
        <v>7</v>
      </c>
      <c r="C10" s="30" t="s">
        <v>74</v>
      </c>
      <c r="D10" s="31"/>
      <c r="E10" s="32">
        <f>SUM(E6:E9)</f>
        <v>1150000</v>
      </c>
      <c r="F10" s="32">
        <f>SUM(F6:F9)</f>
        <v>1133565.94</v>
      </c>
      <c r="G10" s="32">
        <f>SUM(G7:G9)</f>
        <v>56412.71</v>
      </c>
      <c r="H10" s="93">
        <f>H7+H8+H9</f>
        <v>1077153.23</v>
      </c>
      <c r="J10" s="112">
        <f>F10+F23+F30</f>
        <v>1335874.94</v>
      </c>
    </row>
    <row r="11" spans="1:8" ht="19.5" customHeight="1">
      <c r="A11" s="26"/>
      <c r="B11" s="33" t="s">
        <v>81</v>
      </c>
      <c r="D11" s="34">
        <v>412000</v>
      </c>
      <c r="E11" s="28" t="s">
        <v>7</v>
      </c>
      <c r="F11" s="28"/>
      <c r="G11" s="28" t="s">
        <v>7</v>
      </c>
      <c r="H11" s="92"/>
    </row>
    <row r="12" spans="1:8" ht="19.5" customHeight="1">
      <c r="A12" s="26"/>
      <c r="B12" s="29" t="s">
        <v>103</v>
      </c>
      <c r="C12" s="20" t="s">
        <v>82</v>
      </c>
      <c r="D12" s="34">
        <v>412103</v>
      </c>
      <c r="E12" s="28">
        <v>500</v>
      </c>
      <c r="F12" s="28">
        <v>0</v>
      </c>
      <c r="G12" s="28">
        <f>H12+F12</f>
        <v>0</v>
      </c>
      <c r="H12" s="92">
        <f>'[1]หมายเหตุ1 '!$G$13</f>
        <v>0</v>
      </c>
    </row>
    <row r="13" spans="1:8" ht="19.5" customHeight="1">
      <c r="A13" s="26"/>
      <c r="B13" s="29" t="s">
        <v>104</v>
      </c>
      <c r="C13" s="20" t="s">
        <v>83</v>
      </c>
      <c r="D13" s="34">
        <v>412204</v>
      </c>
      <c r="E13" s="28">
        <v>500</v>
      </c>
      <c r="F13" s="28">
        <v>0</v>
      </c>
      <c r="G13" s="28">
        <f>F13</f>
        <v>0</v>
      </c>
      <c r="H13" s="92">
        <v>0</v>
      </c>
    </row>
    <row r="14" spans="1:8" ht="19.5" customHeight="1">
      <c r="A14" s="26"/>
      <c r="B14" s="35" t="s">
        <v>105</v>
      </c>
      <c r="C14" s="20" t="s">
        <v>333</v>
      </c>
      <c r="D14" s="34">
        <v>412406</v>
      </c>
      <c r="E14" s="28">
        <v>30000</v>
      </c>
      <c r="F14" s="28">
        <f>H14+G14</f>
        <v>58685</v>
      </c>
      <c r="G14" s="28">
        <v>33908</v>
      </c>
      <c r="H14" s="92">
        <v>24777</v>
      </c>
    </row>
    <row r="15" spans="1:8" ht="19.5" customHeight="1">
      <c r="A15" s="26"/>
      <c r="B15" s="35" t="s">
        <v>106</v>
      </c>
      <c r="C15" s="20" t="s">
        <v>84</v>
      </c>
      <c r="D15" s="34">
        <v>412202</v>
      </c>
      <c r="E15" s="28">
        <v>500</v>
      </c>
      <c r="F15" s="28">
        <v>0</v>
      </c>
      <c r="G15" s="28">
        <f>H15+F15</f>
        <v>0</v>
      </c>
      <c r="H15" s="92">
        <f>'[1]หมายเหตุ1 '!$G$15</f>
        <v>0</v>
      </c>
    </row>
    <row r="16" spans="1:8" ht="19.5" customHeight="1">
      <c r="A16" s="26"/>
      <c r="B16" s="35" t="s">
        <v>107</v>
      </c>
      <c r="C16" s="20" t="s">
        <v>228</v>
      </c>
      <c r="D16" s="34">
        <v>412210</v>
      </c>
      <c r="E16" s="28">
        <v>30000</v>
      </c>
      <c r="F16" s="28">
        <f>H16+G16</f>
        <v>8554</v>
      </c>
      <c r="G16" s="28">
        <v>8554</v>
      </c>
      <c r="H16" s="92">
        <v>0</v>
      </c>
    </row>
    <row r="17" spans="1:8" ht="19.5" customHeight="1">
      <c r="A17" s="26"/>
      <c r="B17" s="35" t="s">
        <v>108</v>
      </c>
      <c r="C17" s="20" t="s">
        <v>128</v>
      </c>
      <c r="D17" s="34">
        <v>412304</v>
      </c>
      <c r="E17" s="28">
        <v>10000</v>
      </c>
      <c r="F17" s="28">
        <f>H17+G17</f>
        <v>7300</v>
      </c>
      <c r="G17" s="28">
        <v>300</v>
      </c>
      <c r="H17" s="92">
        <v>7000</v>
      </c>
    </row>
    <row r="18" spans="1:8" ht="19.5" customHeight="1">
      <c r="A18" s="26"/>
      <c r="B18" s="35"/>
      <c r="C18" s="20" t="s">
        <v>129</v>
      </c>
      <c r="D18" s="34"/>
      <c r="E18" s="28"/>
      <c r="F18" s="28"/>
      <c r="G18" s="28">
        <f>H18+F18</f>
        <v>0</v>
      </c>
      <c r="H18" s="92">
        <f>'[1]หมายเหตุ1 '!$G$18</f>
        <v>0</v>
      </c>
    </row>
    <row r="19" spans="1:8" ht="19.5" customHeight="1">
      <c r="A19" s="26"/>
      <c r="B19" s="35" t="s">
        <v>109</v>
      </c>
      <c r="C19" s="20" t="s">
        <v>85</v>
      </c>
      <c r="D19" s="34">
        <v>412308</v>
      </c>
      <c r="E19" s="28">
        <v>500</v>
      </c>
      <c r="F19" s="28">
        <v>0</v>
      </c>
      <c r="G19" s="28">
        <f>H19+F19</f>
        <v>0</v>
      </c>
      <c r="H19" s="92">
        <f>'[1]หมายเหตุ1 '!$G$19</f>
        <v>0</v>
      </c>
    </row>
    <row r="20" spans="1:8" ht="19.5" customHeight="1">
      <c r="A20" s="26"/>
      <c r="B20" s="35" t="s">
        <v>110</v>
      </c>
      <c r="C20" s="20" t="s">
        <v>130</v>
      </c>
      <c r="D20" s="34">
        <v>412399</v>
      </c>
      <c r="E20" s="28">
        <v>50000</v>
      </c>
      <c r="F20" s="28">
        <f>H20+G20</f>
        <v>66500</v>
      </c>
      <c r="G20" s="28">
        <v>12000</v>
      </c>
      <c r="H20" s="92">
        <v>54500</v>
      </c>
    </row>
    <row r="21" spans="1:8" ht="19.5" customHeight="1">
      <c r="A21" s="26"/>
      <c r="B21" s="35" t="s">
        <v>111</v>
      </c>
      <c r="C21" s="20" t="s">
        <v>247</v>
      </c>
      <c r="D21" s="34">
        <v>412128</v>
      </c>
      <c r="E21" s="28">
        <v>1000</v>
      </c>
      <c r="F21" s="28">
        <f>H21+G21</f>
        <v>640</v>
      </c>
      <c r="G21" s="28">
        <v>150</v>
      </c>
      <c r="H21" s="92">
        <v>490</v>
      </c>
    </row>
    <row r="22" spans="1:8" ht="19.5" customHeight="1">
      <c r="A22" s="26"/>
      <c r="B22" s="35" t="s">
        <v>182</v>
      </c>
      <c r="C22" s="20" t="s">
        <v>321</v>
      </c>
      <c r="D22" s="34">
        <v>412399</v>
      </c>
      <c r="E22" s="28">
        <v>500</v>
      </c>
      <c r="F22" s="28">
        <f>H22+G22</f>
        <v>0</v>
      </c>
      <c r="G22" s="28">
        <v>0</v>
      </c>
      <c r="H22" s="92">
        <v>0</v>
      </c>
    </row>
    <row r="23" spans="1:8" ht="19.5" customHeight="1">
      <c r="A23" s="26"/>
      <c r="B23" s="36"/>
      <c r="C23" s="30" t="s">
        <v>74</v>
      </c>
      <c r="D23" s="34"/>
      <c r="E23" s="32">
        <f>SUM(E12:E22)</f>
        <v>123500</v>
      </c>
      <c r="F23" s="32">
        <f>SUM(F12:F22)</f>
        <v>141679</v>
      </c>
      <c r="G23" s="32">
        <f>SUM(G12:G22)</f>
        <v>54912</v>
      </c>
      <c r="H23" s="93">
        <f>SUM(H12:H22)</f>
        <v>86767</v>
      </c>
    </row>
    <row r="24" spans="1:9" ht="19.5" customHeight="1">
      <c r="A24" s="26"/>
      <c r="B24" s="37" t="s">
        <v>86</v>
      </c>
      <c r="D24" s="34">
        <v>413000</v>
      </c>
      <c r="E24" s="28" t="s">
        <v>7</v>
      </c>
      <c r="F24" s="28"/>
      <c r="G24" s="28" t="s">
        <v>7</v>
      </c>
      <c r="I24" s="21">
        <v>0</v>
      </c>
    </row>
    <row r="25" spans="1:9" ht="19.5" customHeight="1">
      <c r="A25" s="26"/>
      <c r="B25" s="35" t="s">
        <v>103</v>
      </c>
      <c r="C25" s="20" t="s">
        <v>87</v>
      </c>
      <c r="D25" s="34">
        <v>413003</v>
      </c>
      <c r="E25" s="306">
        <v>566500</v>
      </c>
      <c r="F25" s="308">
        <v>170865.64</v>
      </c>
      <c r="G25" s="307">
        <v>0</v>
      </c>
      <c r="H25" s="302">
        <v>170865.64</v>
      </c>
      <c r="I25" s="20">
        <v>0</v>
      </c>
    </row>
    <row r="26" spans="1:9" ht="19.5" customHeight="1">
      <c r="A26" s="26"/>
      <c r="B26" s="36"/>
      <c r="C26" s="30" t="s">
        <v>74</v>
      </c>
      <c r="D26" s="34"/>
      <c r="E26" s="32">
        <f>SUM(E25:E25)</f>
        <v>566500</v>
      </c>
      <c r="F26" s="32">
        <f>SUM(F25:F25)</f>
        <v>170865.64</v>
      </c>
      <c r="G26" s="32">
        <f>SUM(G25:G25)</f>
        <v>0</v>
      </c>
      <c r="H26" s="93">
        <f>H25</f>
        <v>170865.64</v>
      </c>
      <c r="I26" s="112">
        <v>0</v>
      </c>
    </row>
    <row r="27" spans="1:8" ht="19.5" customHeight="1">
      <c r="A27" s="26"/>
      <c r="B27" s="37" t="s">
        <v>88</v>
      </c>
      <c r="D27" s="34">
        <v>415000</v>
      </c>
      <c r="E27" s="28" t="s">
        <v>7</v>
      </c>
      <c r="G27" s="28">
        <f>H27</f>
        <v>0</v>
      </c>
      <c r="H27" s="92">
        <v>0</v>
      </c>
    </row>
    <row r="28" spans="1:8" ht="19.5" customHeight="1">
      <c r="A28" s="26"/>
      <c r="B28" s="35" t="s">
        <v>103</v>
      </c>
      <c r="C28" s="20" t="s">
        <v>89</v>
      </c>
      <c r="D28" s="34">
        <v>415004</v>
      </c>
      <c r="E28" s="28">
        <v>100000</v>
      </c>
      <c r="F28" s="28">
        <f>H28+G28</f>
        <v>46500</v>
      </c>
      <c r="G28" s="28">
        <v>0</v>
      </c>
      <c r="H28" s="92">
        <v>46500</v>
      </c>
    </row>
    <row r="29" spans="1:8" ht="19.5" customHeight="1">
      <c r="A29" s="26"/>
      <c r="B29" s="35" t="s">
        <v>104</v>
      </c>
      <c r="C29" s="20" t="s">
        <v>90</v>
      </c>
      <c r="D29" s="34">
        <v>415999</v>
      </c>
      <c r="E29" s="28">
        <v>20000</v>
      </c>
      <c r="F29" s="28">
        <f>H29+G29</f>
        <v>14130</v>
      </c>
      <c r="G29" s="28">
        <v>1010</v>
      </c>
      <c r="H29" s="92">
        <v>13120</v>
      </c>
    </row>
    <row r="30" spans="1:8" ht="19.5" customHeight="1">
      <c r="A30" s="26"/>
      <c r="B30" s="36"/>
      <c r="C30" s="30" t="s">
        <v>74</v>
      </c>
      <c r="D30" s="34"/>
      <c r="E30" s="32">
        <f>SUM(E28:E29)</f>
        <v>120000</v>
      </c>
      <c r="F30" s="32">
        <f>SUM(F28:F29)</f>
        <v>60630</v>
      </c>
      <c r="G30" s="32">
        <f>SUM(G28:G29)</f>
        <v>1010</v>
      </c>
      <c r="H30" s="93">
        <f>H28+H29</f>
        <v>59620</v>
      </c>
    </row>
    <row r="31" spans="1:8" ht="19.5" customHeight="1">
      <c r="A31" s="26"/>
      <c r="B31" s="23" t="s">
        <v>91</v>
      </c>
      <c r="D31" s="31"/>
      <c r="E31" s="28" t="s">
        <v>7</v>
      </c>
      <c r="F31" s="28"/>
      <c r="G31" s="28" t="s">
        <v>7</v>
      </c>
      <c r="H31" s="91"/>
    </row>
    <row r="32" spans="1:8" ht="19.5" customHeight="1">
      <c r="A32" s="26"/>
      <c r="B32" s="23" t="s">
        <v>92</v>
      </c>
      <c r="D32" s="38">
        <v>421000</v>
      </c>
      <c r="E32" s="28" t="s">
        <v>7</v>
      </c>
      <c r="F32" s="28"/>
      <c r="G32" s="28" t="s">
        <v>7</v>
      </c>
      <c r="H32" s="91"/>
    </row>
    <row r="33" spans="1:9" ht="19.5" customHeight="1">
      <c r="A33" s="26"/>
      <c r="B33" s="29" t="s">
        <v>103</v>
      </c>
      <c r="C33" s="20" t="s">
        <v>93</v>
      </c>
      <c r="D33" s="38">
        <v>421001</v>
      </c>
      <c r="E33" s="28">
        <v>500</v>
      </c>
      <c r="F33" s="28">
        <v>0</v>
      </c>
      <c r="G33" s="28">
        <f>H33+F33</f>
        <v>0</v>
      </c>
      <c r="H33" s="92">
        <v>0</v>
      </c>
      <c r="I33" s="21"/>
    </row>
    <row r="34" spans="1:9" ht="19.5" customHeight="1">
      <c r="A34" s="26"/>
      <c r="B34" s="29" t="s">
        <v>104</v>
      </c>
      <c r="C34" s="20" t="s">
        <v>229</v>
      </c>
      <c r="D34" s="38">
        <v>421002</v>
      </c>
      <c r="E34" s="28">
        <v>7600000</v>
      </c>
      <c r="F34" s="28">
        <f>H34+G34</f>
        <v>5132067.28</v>
      </c>
      <c r="G34" s="28">
        <v>1514479.85</v>
      </c>
      <c r="H34" s="92">
        <v>3617587.43</v>
      </c>
      <c r="I34" s="21"/>
    </row>
    <row r="35" spans="1:9" ht="19.5" customHeight="1">
      <c r="A35" s="26"/>
      <c r="B35" s="227"/>
      <c r="C35" s="20" t="s">
        <v>148</v>
      </c>
      <c r="D35" s="38">
        <v>421004</v>
      </c>
      <c r="E35" s="28">
        <v>4700000</v>
      </c>
      <c r="F35" s="28">
        <f>G35+H35</f>
        <v>3030860.7199999997</v>
      </c>
      <c r="G35" s="28">
        <v>472193.42</v>
      </c>
      <c r="H35" s="92">
        <v>2558667.3</v>
      </c>
      <c r="I35" s="21"/>
    </row>
    <row r="36" spans="1:9" ht="19.5" customHeight="1">
      <c r="A36" s="26"/>
      <c r="B36" s="29" t="s">
        <v>105</v>
      </c>
      <c r="C36" s="20" t="s">
        <v>57</v>
      </c>
      <c r="D36" s="38">
        <v>421005</v>
      </c>
      <c r="E36" s="28">
        <v>200000</v>
      </c>
      <c r="F36" s="28">
        <f>G36+H36</f>
        <v>97164.23</v>
      </c>
      <c r="G36" s="28">
        <v>35620.03</v>
      </c>
      <c r="H36" s="92">
        <v>61544.2</v>
      </c>
      <c r="I36" s="21"/>
    </row>
    <row r="37" spans="1:8" ht="19.5" customHeight="1">
      <c r="A37" s="26"/>
      <c r="B37" s="29" t="s">
        <v>106</v>
      </c>
      <c r="C37" s="20" t="s">
        <v>58</v>
      </c>
      <c r="D37" s="38">
        <v>421006</v>
      </c>
      <c r="E37" s="28">
        <v>2000000</v>
      </c>
      <c r="F37" s="28">
        <f>G37+H37</f>
        <v>1292916.01</v>
      </c>
      <c r="G37" s="28">
        <v>267656.19</v>
      </c>
      <c r="H37" s="92">
        <v>1025259.82</v>
      </c>
    </row>
    <row r="38" spans="1:8" ht="19.5" customHeight="1">
      <c r="A38" s="26"/>
      <c r="B38" s="29" t="s">
        <v>107</v>
      </c>
      <c r="C38" s="20" t="s">
        <v>59</v>
      </c>
      <c r="D38" s="38">
        <v>421007</v>
      </c>
      <c r="E38" s="28">
        <v>3400000</v>
      </c>
      <c r="F38" s="28">
        <f>G38+H38</f>
        <v>2465026.2399999998</v>
      </c>
      <c r="G38" s="28">
        <v>412892.84</v>
      </c>
      <c r="H38" s="92">
        <v>2052133.4</v>
      </c>
    </row>
    <row r="39" spans="1:8" ht="19.5" customHeight="1">
      <c r="A39" s="26"/>
      <c r="B39" s="35" t="s">
        <v>108</v>
      </c>
      <c r="C39" s="20" t="s">
        <v>94</v>
      </c>
      <c r="D39" s="38">
        <v>421014</v>
      </c>
      <c r="E39" s="28">
        <v>500</v>
      </c>
      <c r="F39" s="28">
        <v>0</v>
      </c>
      <c r="G39" s="28">
        <f>H39+F39</f>
        <v>0</v>
      </c>
      <c r="H39" s="92">
        <v>0</v>
      </c>
    </row>
    <row r="40" spans="1:9" ht="19.5" customHeight="1">
      <c r="A40" s="26"/>
      <c r="B40" s="35" t="s">
        <v>109</v>
      </c>
      <c r="C40" s="20" t="s">
        <v>60</v>
      </c>
      <c r="D40" s="38">
        <v>421012</v>
      </c>
      <c r="E40" s="28">
        <v>500000</v>
      </c>
      <c r="F40" s="28">
        <f>H40+G40</f>
        <v>495638.93</v>
      </c>
      <c r="G40" s="28">
        <v>13351.35</v>
      </c>
      <c r="H40" s="92">
        <v>482287.58</v>
      </c>
      <c r="I40" s="111"/>
    </row>
    <row r="41" spans="1:8" ht="19.5" customHeight="1">
      <c r="A41" s="26"/>
      <c r="B41" s="35" t="s">
        <v>110</v>
      </c>
      <c r="C41" s="20" t="s">
        <v>62</v>
      </c>
      <c r="D41" s="38">
        <v>421013</v>
      </c>
      <c r="E41" s="28">
        <v>177000</v>
      </c>
      <c r="F41" s="28">
        <f>H41+G41</f>
        <v>55084.06999999999</v>
      </c>
      <c r="G41" s="28">
        <v>15115.05</v>
      </c>
      <c r="H41" s="92">
        <v>39969.02</v>
      </c>
    </row>
    <row r="42" spans="1:8" ht="19.5" customHeight="1">
      <c r="A42" s="26"/>
      <c r="B42" s="35" t="s">
        <v>111</v>
      </c>
      <c r="C42" s="20" t="s">
        <v>230</v>
      </c>
      <c r="D42" s="38">
        <v>421015</v>
      </c>
      <c r="E42" s="28">
        <v>5460000</v>
      </c>
      <c r="F42" s="28">
        <f>H42+G42</f>
        <v>2491700</v>
      </c>
      <c r="G42" s="28">
        <v>284034</v>
      </c>
      <c r="H42" s="92">
        <v>2207666</v>
      </c>
    </row>
    <row r="43" spans="1:8" ht="19.5" customHeight="1">
      <c r="A43" s="26"/>
      <c r="B43" s="35" t="s">
        <v>182</v>
      </c>
      <c r="C43" s="20" t="s">
        <v>183</v>
      </c>
      <c r="D43" s="38">
        <v>421017</v>
      </c>
      <c r="E43" s="28">
        <v>2000</v>
      </c>
      <c r="F43" s="28">
        <f>H43+G43</f>
        <v>0</v>
      </c>
      <c r="G43" s="28">
        <v>0</v>
      </c>
      <c r="H43" s="92">
        <v>0</v>
      </c>
    </row>
    <row r="44" spans="1:8" ht="23.25" customHeight="1">
      <c r="A44" s="332"/>
      <c r="B44" s="333"/>
      <c r="C44" s="334" t="s">
        <v>74</v>
      </c>
      <c r="D44" s="335"/>
      <c r="E44" s="32">
        <f>SUM(E33:E43)</f>
        <v>24040000</v>
      </c>
      <c r="F44" s="32">
        <f>SUM(F33:F43)</f>
        <v>15060457.48</v>
      </c>
      <c r="G44" s="32">
        <f>SUM(G33:G43)</f>
        <v>3015342.73</v>
      </c>
      <c r="H44" s="93">
        <f>SUM(H33:H43)</f>
        <v>12045114.75</v>
      </c>
    </row>
    <row r="45" spans="2:8" s="40" customFormat="1" ht="21">
      <c r="B45" s="29"/>
      <c r="C45" s="41"/>
      <c r="E45" s="42"/>
      <c r="F45" s="42"/>
      <c r="G45" s="43">
        <v>2</v>
      </c>
      <c r="H45" s="94"/>
    </row>
    <row r="46" spans="1:8" s="49" customFormat="1" ht="21">
      <c r="A46" s="44"/>
      <c r="B46" s="45" t="s">
        <v>7</v>
      </c>
      <c r="C46" s="46"/>
      <c r="D46" s="47" t="s">
        <v>5</v>
      </c>
      <c r="E46" s="48" t="s">
        <v>12</v>
      </c>
      <c r="F46" s="48" t="s">
        <v>132</v>
      </c>
      <c r="G46" s="48" t="s">
        <v>133</v>
      </c>
      <c r="H46" s="95"/>
    </row>
    <row r="47" spans="1:8" ht="21">
      <c r="A47" s="416"/>
      <c r="B47" s="39" t="s">
        <v>95</v>
      </c>
      <c r="D47" s="31"/>
      <c r="E47" s="28" t="s">
        <v>7</v>
      </c>
      <c r="F47" s="28"/>
      <c r="G47" s="28" t="s">
        <v>7</v>
      </c>
      <c r="H47" s="91"/>
    </row>
    <row r="48" spans="1:10" ht="21">
      <c r="A48" s="26"/>
      <c r="B48" s="39" t="s">
        <v>96</v>
      </c>
      <c r="D48" s="38">
        <v>431000</v>
      </c>
      <c r="E48" s="28" t="s">
        <v>7</v>
      </c>
      <c r="F48" s="28"/>
      <c r="G48" s="28" t="s">
        <v>7</v>
      </c>
      <c r="H48" s="91"/>
      <c r="J48" s="21"/>
    </row>
    <row r="49" spans="1:10" ht="21">
      <c r="A49" s="26"/>
      <c r="B49" s="35" t="s">
        <v>103</v>
      </c>
      <c r="C49" s="20" t="s">
        <v>226</v>
      </c>
      <c r="D49" s="38">
        <v>431001</v>
      </c>
      <c r="E49" s="28">
        <v>9000000</v>
      </c>
      <c r="F49" s="28">
        <f>H49+G49</f>
        <v>5962147</v>
      </c>
      <c r="G49" s="28">
        <v>0</v>
      </c>
      <c r="H49" s="92">
        <v>5962147</v>
      </c>
      <c r="J49" s="21"/>
    </row>
    <row r="50" spans="1:10" ht="21">
      <c r="A50" s="26"/>
      <c r="B50" s="35"/>
      <c r="C50" s="20" t="s">
        <v>97</v>
      </c>
      <c r="D50" s="38"/>
      <c r="E50" s="28"/>
      <c r="F50" s="28"/>
      <c r="G50" s="28">
        <f>H50+F50</f>
        <v>0</v>
      </c>
      <c r="H50" s="92">
        <v>0</v>
      </c>
      <c r="J50" s="21"/>
    </row>
    <row r="51" spans="1:10" ht="21">
      <c r="A51" s="26"/>
      <c r="B51" s="35"/>
      <c r="C51" s="30" t="s">
        <v>74</v>
      </c>
      <c r="D51" s="38"/>
      <c r="E51" s="32">
        <f>SUM(E49:E49)</f>
        <v>9000000</v>
      </c>
      <c r="F51" s="32">
        <f>SUM(F49:F50)</f>
        <v>5962147</v>
      </c>
      <c r="G51" s="32">
        <f>SUM(G49:G50)</f>
        <v>0</v>
      </c>
      <c r="H51" s="93">
        <f>SUM(H49:H50)</f>
        <v>5962147</v>
      </c>
      <c r="J51" s="21"/>
    </row>
    <row r="52" spans="1:10" ht="21">
      <c r="A52" s="26"/>
      <c r="B52" s="39" t="s">
        <v>134</v>
      </c>
      <c r="D52" s="38"/>
      <c r="E52" s="28" t="s">
        <v>7</v>
      </c>
      <c r="F52" s="28"/>
      <c r="G52" s="28" t="s">
        <v>7</v>
      </c>
      <c r="H52" s="91"/>
      <c r="J52" s="21"/>
    </row>
    <row r="53" spans="1:10" ht="21">
      <c r="A53" s="26"/>
      <c r="B53" s="39" t="s">
        <v>227</v>
      </c>
      <c r="D53" s="38">
        <v>441000</v>
      </c>
      <c r="E53" s="28" t="s">
        <v>7</v>
      </c>
      <c r="F53" s="28"/>
      <c r="G53" s="28" t="s">
        <v>7</v>
      </c>
      <c r="H53" s="91"/>
      <c r="J53" s="21"/>
    </row>
    <row r="54" spans="1:10" ht="21">
      <c r="A54" s="26"/>
      <c r="B54" s="35" t="s">
        <v>104</v>
      </c>
      <c r="C54" s="20" t="s">
        <v>456</v>
      </c>
      <c r="D54" s="38">
        <v>441001</v>
      </c>
      <c r="E54" s="28">
        <v>0</v>
      </c>
      <c r="F54" s="28">
        <f aca="true" t="shared" si="0" ref="F54:F59">H54+G54</f>
        <v>1070000</v>
      </c>
      <c r="G54" s="28">
        <v>0</v>
      </c>
      <c r="H54" s="92">
        <v>1070000</v>
      </c>
      <c r="J54" s="21"/>
    </row>
    <row r="55" spans="1:10" ht="21">
      <c r="A55" s="26"/>
      <c r="B55" s="35" t="s">
        <v>105</v>
      </c>
      <c r="C55" s="20" t="s">
        <v>245</v>
      </c>
      <c r="D55" s="38">
        <v>441001</v>
      </c>
      <c r="E55" s="28">
        <v>0</v>
      </c>
      <c r="F55" s="28">
        <f t="shared" si="0"/>
        <v>6633600</v>
      </c>
      <c r="G55" s="28">
        <v>783000</v>
      </c>
      <c r="H55" s="92">
        <v>5850600</v>
      </c>
      <c r="J55" s="21"/>
    </row>
    <row r="56" spans="1:10" ht="21">
      <c r="A56" s="26"/>
      <c r="B56" s="35" t="s">
        <v>106</v>
      </c>
      <c r="C56" s="20" t="s">
        <v>246</v>
      </c>
      <c r="D56" s="38">
        <v>441002</v>
      </c>
      <c r="E56" s="28">
        <v>0</v>
      </c>
      <c r="F56" s="28">
        <f t="shared" si="0"/>
        <v>1472000</v>
      </c>
      <c r="G56" s="28">
        <v>105600</v>
      </c>
      <c r="H56" s="92">
        <v>1366400</v>
      </c>
      <c r="J56" s="21"/>
    </row>
    <row r="57" spans="1:10" ht="21">
      <c r="A57" s="26"/>
      <c r="B57" s="35" t="s">
        <v>107</v>
      </c>
      <c r="C57" s="20" t="s">
        <v>289</v>
      </c>
      <c r="D57" s="38">
        <v>441005</v>
      </c>
      <c r="E57" s="28"/>
      <c r="F57" s="28">
        <f t="shared" si="0"/>
        <v>530430</v>
      </c>
      <c r="G57" s="28">
        <v>0</v>
      </c>
      <c r="H57" s="92">
        <v>530430</v>
      </c>
      <c r="J57" s="21"/>
    </row>
    <row r="58" spans="1:10" ht="21">
      <c r="A58" s="26"/>
      <c r="B58" s="35" t="s">
        <v>108</v>
      </c>
      <c r="C58" s="20" t="s">
        <v>270</v>
      </c>
      <c r="D58" s="38">
        <v>441003</v>
      </c>
      <c r="E58" s="28"/>
      <c r="F58" s="28">
        <f t="shared" si="0"/>
        <v>102600</v>
      </c>
      <c r="G58" s="28">
        <v>0</v>
      </c>
      <c r="H58" s="92">
        <v>102600</v>
      </c>
      <c r="I58" s="111">
        <f>H58+H59</f>
        <v>107730</v>
      </c>
      <c r="J58" s="21"/>
    </row>
    <row r="59" spans="1:10" ht="21">
      <c r="A59" s="26"/>
      <c r="B59" s="35" t="s">
        <v>109</v>
      </c>
      <c r="C59" s="20" t="s">
        <v>346</v>
      </c>
      <c r="D59" s="38"/>
      <c r="E59" s="28"/>
      <c r="F59" s="28">
        <f t="shared" si="0"/>
        <v>5130</v>
      </c>
      <c r="G59" s="28">
        <v>0</v>
      </c>
      <c r="H59" s="92">
        <v>5130</v>
      </c>
      <c r="J59" s="21"/>
    </row>
    <row r="60" spans="1:10" ht="21">
      <c r="A60" s="40"/>
      <c r="B60" s="35" t="s">
        <v>110</v>
      </c>
      <c r="C60" s="20" t="s">
        <v>389</v>
      </c>
      <c r="D60" s="384"/>
      <c r="E60" s="28"/>
      <c r="F60" s="28">
        <v>54600</v>
      </c>
      <c r="G60" s="28">
        <v>0</v>
      </c>
      <c r="H60" s="92">
        <v>54600</v>
      </c>
      <c r="J60" s="21"/>
    </row>
    <row r="61" spans="1:10" ht="21">
      <c r="A61" s="336"/>
      <c r="B61" s="336"/>
      <c r="C61" s="337" t="s">
        <v>74</v>
      </c>
      <c r="D61" s="304"/>
      <c r="E61" s="32">
        <f>SUM(E54:E58)</f>
        <v>0</v>
      </c>
      <c r="F61" s="32">
        <f>SUM(F54:F60)</f>
        <v>9868360</v>
      </c>
      <c r="G61" s="32">
        <f>SUM(G54:G60)</f>
        <v>888600</v>
      </c>
      <c r="H61" s="32">
        <f>SUM(H54:H60)</f>
        <v>8979760</v>
      </c>
      <c r="I61" s="369">
        <f>G61-H61</f>
        <v>-8091160</v>
      </c>
      <c r="J61" s="21"/>
    </row>
    <row r="62" spans="3:10" ht="21.75" thickBot="1">
      <c r="C62" s="30" t="s">
        <v>98</v>
      </c>
      <c r="E62" s="105">
        <f>E10+E23+E26+E30+E44+E51</f>
        <v>35000000</v>
      </c>
      <c r="F62" s="104">
        <f>F10+F23+F26+F30+F44+F51+F61</f>
        <v>32397705.060000002</v>
      </c>
      <c r="G62" s="104">
        <f>(G10+G23+G26+G30+G44+G51+G61)</f>
        <v>4016277.44</v>
      </c>
      <c r="H62" s="96">
        <f>(H10+H23+H26+H30+H44+H51+H61)</f>
        <v>28381427.62</v>
      </c>
      <c r="I62" s="21">
        <f>G62+H62</f>
        <v>32397705.060000002</v>
      </c>
      <c r="J62" s="21"/>
    </row>
    <row r="63" spans="3:9" ht="21.75" thickTop="1">
      <c r="C63" s="30"/>
      <c r="E63" s="42"/>
      <c r="F63" s="42"/>
      <c r="G63" s="42"/>
      <c r="H63" s="91"/>
      <c r="I63" s="92">
        <f>I62-F62</f>
        <v>0</v>
      </c>
    </row>
    <row r="64" spans="3:9" ht="21">
      <c r="C64" s="30"/>
      <c r="E64" s="42"/>
      <c r="F64" s="42"/>
      <c r="G64" s="42"/>
      <c r="H64" s="91"/>
      <c r="I64" s="92"/>
    </row>
    <row r="65" spans="3:9" ht="21">
      <c r="C65" s="30"/>
      <c r="E65" s="42"/>
      <c r="F65" s="42"/>
      <c r="G65" s="42"/>
      <c r="H65" s="369">
        <f>I62-G62</f>
        <v>28381427.62</v>
      </c>
      <c r="I65" s="92"/>
    </row>
    <row r="66" spans="3:9" ht="21">
      <c r="C66" s="30"/>
      <c r="E66" s="42"/>
      <c r="F66" s="42"/>
      <c r="G66" s="42"/>
      <c r="H66" s="91"/>
      <c r="I66" s="92"/>
    </row>
    <row r="67" spans="3:9" ht="21">
      <c r="C67" s="30"/>
      <c r="E67" s="42"/>
      <c r="F67" s="42"/>
      <c r="G67" s="42"/>
      <c r="H67" s="91"/>
      <c r="I67" s="92"/>
    </row>
    <row r="68" spans="3:9" ht="21">
      <c r="C68" s="30"/>
      <c r="E68" s="42"/>
      <c r="F68" s="42"/>
      <c r="G68" s="42"/>
      <c r="H68" s="91"/>
      <c r="I68" s="92"/>
    </row>
    <row r="69" spans="3:9" ht="21">
      <c r="C69" s="30"/>
      <c r="E69" s="42"/>
      <c r="F69" s="42"/>
      <c r="G69" s="42"/>
      <c r="H69" s="91"/>
      <c r="I69" s="92"/>
    </row>
    <row r="70" spans="3:9" ht="21">
      <c r="C70" s="30"/>
      <c r="E70" s="42"/>
      <c r="F70" s="42"/>
      <c r="G70" s="42"/>
      <c r="H70" s="91"/>
      <c r="I70" s="92"/>
    </row>
    <row r="71" spans="3:9" ht="21">
      <c r="C71" s="30"/>
      <c r="E71" s="42"/>
      <c r="F71" s="42"/>
      <c r="G71" s="42"/>
      <c r="H71" s="91"/>
      <c r="I71" s="92"/>
    </row>
    <row r="72" spans="3:9" ht="21">
      <c r="C72" s="30"/>
      <c r="E72" s="42"/>
      <c r="F72" s="42"/>
      <c r="G72" s="42"/>
      <c r="H72" s="91"/>
      <c r="I72" s="92"/>
    </row>
    <row r="73" spans="3:9" ht="21">
      <c r="C73" s="30"/>
      <c r="E73" s="42"/>
      <c r="F73" s="42"/>
      <c r="G73" s="42"/>
      <c r="H73" s="91"/>
      <c r="I73" s="92"/>
    </row>
    <row r="74" spans="3:9" ht="21">
      <c r="C74" s="30"/>
      <c r="E74" s="42"/>
      <c r="F74" s="42"/>
      <c r="G74" s="42"/>
      <c r="H74" s="91"/>
      <c r="I74" s="92"/>
    </row>
    <row r="75" spans="3:9" ht="21">
      <c r="C75" s="30"/>
      <c r="E75" s="42"/>
      <c r="F75" s="42"/>
      <c r="G75" s="42"/>
      <c r="H75" s="91"/>
      <c r="I75" s="92"/>
    </row>
    <row r="76" spans="3:9" ht="21">
      <c r="C76" s="30"/>
      <c r="E76" s="42"/>
      <c r="F76" s="42"/>
      <c r="G76" s="42"/>
      <c r="H76" s="91"/>
      <c r="I76" s="92"/>
    </row>
    <row r="77" spans="3:9" ht="21">
      <c r="C77" s="30"/>
      <c r="E77" s="42"/>
      <c r="F77" s="42"/>
      <c r="G77" s="42"/>
      <c r="H77" s="91"/>
      <c r="I77" s="92"/>
    </row>
    <row r="78" spans="3:9" ht="21">
      <c r="C78" s="30"/>
      <c r="E78" s="42"/>
      <c r="F78" s="42"/>
      <c r="G78" s="42"/>
      <c r="H78" s="91"/>
      <c r="I78" s="92"/>
    </row>
    <row r="79" spans="3:9" ht="21">
      <c r="C79" s="30"/>
      <c r="E79" s="42"/>
      <c r="F79" s="42"/>
      <c r="G79" s="42"/>
      <c r="H79" s="91"/>
      <c r="I79" s="92"/>
    </row>
    <row r="80" spans="3:9" ht="57.75" customHeight="1">
      <c r="C80" s="30"/>
      <c r="E80" s="42"/>
      <c r="F80" s="42"/>
      <c r="G80" s="42"/>
      <c r="H80" s="91"/>
      <c r="I80" s="92"/>
    </row>
    <row r="81" spans="3:9" ht="21">
      <c r="C81" s="30"/>
      <c r="E81" s="42"/>
      <c r="F81" s="42"/>
      <c r="G81" s="42"/>
      <c r="H81" s="91"/>
      <c r="I81" s="92"/>
    </row>
    <row r="82" spans="3:9" ht="21">
      <c r="C82" s="30"/>
      <c r="E82" s="42"/>
      <c r="F82" s="42"/>
      <c r="G82" s="42"/>
      <c r="H82" s="91"/>
      <c r="I82" s="92"/>
    </row>
    <row r="83" spans="3:9" ht="21">
      <c r="C83" s="30"/>
      <c r="E83" s="42"/>
      <c r="F83" s="42"/>
      <c r="G83" s="42"/>
      <c r="H83" s="91"/>
      <c r="I83" s="92"/>
    </row>
    <row r="84" spans="3:9" ht="21">
      <c r="C84" s="30"/>
      <c r="E84" s="42"/>
      <c r="F84" s="42"/>
      <c r="G84" s="42"/>
      <c r="H84" s="91"/>
      <c r="I84" s="92"/>
    </row>
    <row r="85" spans="3:9" ht="21">
      <c r="C85" s="30"/>
      <c r="E85" s="42"/>
      <c r="F85" s="42"/>
      <c r="G85" s="42"/>
      <c r="H85" s="91"/>
      <c r="I85" s="92"/>
    </row>
    <row r="86" spans="3:9" ht="21">
      <c r="C86" s="30"/>
      <c r="E86" s="42"/>
      <c r="F86" s="42"/>
      <c r="G86" s="42"/>
      <c r="H86" s="91"/>
      <c r="I86" s="92"/>
    </row>
    <row r="87" spans="1:10" ht="21">
      <c r="A87" s="26"/>
      <c r="B87" s="35" t="s">
        <v>110</v>
      </c>
      <c r="C87" s="20" t="s">
        <v>341</v>
      </c>
      <c r="D87" s="38"/>
      <c r="E87" s="28"/>
      <c r="F87" s="28">
        <v>0</v>
      </c>
      <c r="G87" s="28">
        <f aca="true" t="shared" si="1" ref="G87:G93">H87+F87</f>
        <v>0</v>
      </c>
      <c r="H87" s="92">
        <v>0</v>
      </c>
      <c r="J87" s="21"/>
    </row>
    <row r="88" spans="1:10" ht="21">
      <c r="A88" s="26"/>
      <c r="B88" s="35" t="s">
        <v>111</v>
      </c>
      <c r="C88" s="20" t="s">
        <v>351</v>
      </c>
      <c r="D88" s="38"/>
      <c r="E88" s="28"/>
      <c r="F88" s="28">
        <v>0</v>
      </c>
      <c r="G88" s="28">
        <f t="shared" si="1"/>
        <v>0</v>
      </c>
      <c r="H88" s="92">
        <v>0</v>
      </c>
      <c r="J88" s="21"/>
    </row>
    <row r="89" spans="1:10" ht="21">
      <c r="A89" s="26"/>
      <c r="B89" s="35" t="s">
        <v>182</v>
      </c>
      <c r="C89" s="20" t="s">
        <v>352</v>
      </c>
      <c r="D89" s="38"/>
      <c r="E89" s="28"/>
      <c r="F89" s="28">
        <v>0</v>
      </c>
      <c r="G89" s="28">
        <f t="shared" si="1"/>
        <v>0</v>
      </c>
      <c r="H89" s="92">
        <v>0</v>
      </c>
      <c r="J89" s="21"/>
    </row>
    <row r="90" spans="1:10" ht="21">
      <c r="A90" s="26"/>
      <c r="B90" s="35" t="s">
        <v>302</v>
      </c>
      <c r="C90" s="20" t="s">
        <v>357</v>
      </c>
      <c r="D90" s="38"/>
      <c r="E90" s="28"/>
      <c r="F90" s="28">
        <v>0</v>
      </c>
      <c r="G90" s="28">
        <f t="shared" si="1"/>
        <v>0</v>
      </c>
      <c r="H90" s="92">
        <v>0</v>
      </c>
      <c r="J90" s="21"/>
    </row>
    <row r="91" spans="1:10" ht="21">
      <c r="A91" s="417"/>
      <c r="B91" s="35" t="s">
        <v>311</v>
      </c>
      <c r="C91" s="20" t="s">
        <v>352</v>
      </c>
      <c r="D91" s="38"/>
      <c r="E91" s="28"/>
      <c r="F91" s="28">
        <v>0</v>
      </c>
      <c r="G91" s="28">
        <f t="shared" si="1"/>
        <v>0</v>
      </c>
      <c r="H91" s="92">
        <v>0</v>
      </c>
      <c r="J91" s="21"/>
    </row>
    <row r="92" spans="1:10" ht="21">
      <c r="A92" s="40"/>
      <c r="B92" s="35" t="s">
        <v>315</v>
      </c>
      <c r="C92" s="20" t="s">
        <v>358</v>
      </c>
      <c r="D92" s="38"/>
      <c r="E92" s="28"/>
      <c r="F92" s="28">
        <v>0</v>
      </c>
      <c r="G92" s="28">
        <f t="shared" si="1"/>
        <v>0</v>
      </c>
      <c r="H92" s="92"/>
      <c r="J92" s="21"/>
    </row>
    <row r="93" spans="1:10" ht="21">
      <c r="A93" s="40"/>
      <c r="B93" s="35" t="s">
        <v>316</v>
      </c>
      <c r="C93" s="20" t="s">
        <v>359</v>
      </c>
      <c r="D93" s="384"/>
      <c r="E93" s="28"/>
      <c r="F93" s="28">
        <v>0</v>
      </c>
      <c r="G93" s="28">
        <f t="shared" si="1"/>
        <v>0</v>
      </c>
      <c r="H93" s="92"/>
      <c r="J93" s="21"/>
    </row>
    <row r="94" spans="3:9" ht="21">
      <c r="C94" s="30"/>
      <c r="E94" s="42"/>
      <c r="F94" s="42"/>
      <c r="G94" s="42"/>
      <c r="H94" s="91"/>
      <c r="I94" s="92"/>
    </row>
    <row r="95" spans="3:9" ht="21">
      <c r="C95" s="30"/>
      <c r="E95" s="42"/>
      <c r="F95" s="42"/>
      <c r="G95" s="42"/>
      <c r="H95" s="91"/>
      <c r="I95" s="92"/>
    </row>
    <row r="96" spans="3:9" ht="21">
      <c r="C96" s="30"/>
      <c r="E96" s="42"/>
      <c r="F96" s="42"/>
      <c r="G96" s="42"/>
      <c r="H96" s="91"/>
      <c r="I96" s="92"/>
    </row>
    <row r="97" spans="3:9" ht="21">
      <c r="C97" s="30"/>
      <c r="E97" s="42"/>
      <c r="F97" s="42"/>
      <c r="G97" s="42"/>
      <c r="H97" s="91"/>
      <c r="I97" s="92"/>
    </row>
    <row r="98" spans="3:8" ht="21">
      <c r="C98" s="30"/>
      <c r="E98" s="42"/>
      <c r="F98" s="42"/>
      <c r="G98" s="42"/>
      <c r="H98" s="91"/>
    </row>
    <row r="99" spans="4:8" ht="21">
      <c r="D99" s="566"/>
      <c r="E99" s="567"/>
      <c r="F99" s="567"/>
      <c r="G99" s="567"/>
      <c r="H99" s="91"/>
    </row>
    <row r="100" ht="21">
      <c r="H100" s="91"/>
    </row>
    <row r="101" spans="1:10" ht="21">
      <c r="A101" s="26"/>
      <c r="B101" s="35" t="s">
        <v>104</v>
      </c>
      <c r="C101" s="20" t="s">
        <v>245</v>
      </c>
      <c r="D101" s="38">
        <v>441001</v>
      </c>
      <c r="E101" s="28">
        <v>0</v>
      </c>
      <c r="F101" s="28">
        <v>0</v>
      </c>
      <c r="G101" s="28">
        <f aca="true" t="shared" si="2" ref="G101:G107">H101+F101</f>
        <v>0</v>
      </c>
      <c r="H101" s="92">
        <v>0</v>
      </c>
      <c r="J101" s="21"/>
    </row>
    <row r="102" spans="1:10" ht="21">
      <c r="A102" s="26"/>
      <c r="B102" s="35" t="s">
        <v>105</v>
      </c>
      <c r="C102" s="20" t="s">
        <v>246</v>
      </c>
      <c r="D102" s="38">
        <v>441002</v>
      </c>
      <c r="E102" s="28">
        <v>0</v>
      </c>
      <c r="F102" s="28">
        <v>0</v>
      </c>
      <c r="G102" s="28">
        <f t="shared" si="2"/>
        <v>0</v>
      </c>
      <c r="H102" s="92">
        <v>0</v>
      </c>
      <c r="J102" s="21"/>
    </row>
    <row r="103" spans="1:10" ht="21">
      <c r="A103" s="26"/>
      <c r="B103" s="35" t="s">
        <v>106</v>
      </c>
      <c r="C103" s="20" t="s">
        <v>270</v>
      </c>
      <c r="D103" s="38">
        <v>441003</v>
      </c>
      <c r="E103" s="28"/>
      <c r="F103" s="28">
        <v>0</v>
      </c>
      <c r="G103" s="28">
        <f t="shared" si="2"/>
        <v>0</v>
      </c>
      <c r="H103" s="92">
        <v>0</v>
      </c>
      <c r="J103" s="21"/>
    </row>
    <row r="104" spans="1:10" ht="21">
      <c r="A104" s="26"/>
      <c r="B104" s="35" t="s">
        <v>107</v>
      </c>
      <c r="C104" s="20" t="s">
        <v>271</v>
      </c>
      <c r="D104" s="38">
        <v>441004</v>
      </c>
      <c r="E104" s="28"/>
      <c r="F104" s="28">
        <v>0</v>
      </c>
      <c r="G104" s="28">
        <f t="shared" si="2"/>
        <v>0</v>
      </c>
      <c r="H104" s="92">
        <v>0</v>
      </c>
      <c r="J104" s="21"/>
    </row>
    <row r="105" spans="1:10" ht="21">
      <c r="A105" s="26"/>
      <c r="B105" s="35" t="s">
        <v>108</v>
      </c>
      <c r="C105" s="20" t="s">
        <v>289</v>
      </c>
      <c r="D105" s="38">
        <v>441005</v>
      </c>
      <c r="E105" s="28"/>
      <c r="F105" s="28">
        <v>0</v>
      </c>
      <c r="G105" s="28">
        <f t="shared" si="2"/>
        <v>0</v>
      </c>
      <c r="H105" s="92">
        <v>0</v>
      </c>
      <c r="J105" s="21"/>
    </row>
    <row r="106" spans="1:10" ht="21">
      <c r="A106" s="26"/>
      <c r="B106" s="35" t="s">
        <v>109</v>
      </c>
      <c r="C106" s="20" t="s">
        <v>330</v>
      </c>
      <c r="D106" s="38">
        <v>441006</v>
      </c>
      <c r="E106" s="28"/>
      <c r="F106" s="28">
        <v>0</v>
      </c>
      <c r="G106" s="28">
        <f t="shared" si="2"/>
        <v>0</v>
      </c>
      <c r="H106" s="92">
        <v>0</v>
      </c>
      <c r="J106" s="21"/>
    </row>
    <row r="107" spans="1:10" ht="21">
      <c r="A107" s="26"/>
      <c r="B107" s="35" t="s">
        <v>110</v>
      </c>
      <c r="C107" s="20" t="s">
        <v>335</v>
      </c>
      <c r="D107" s="38"/>
      <c r="E107" s="28"/>
      <c r="F107" s="28">
        <v>0</v>
      </c>
      <c r="G107" s="28">
        <f t="shared" si="2"/>
        <v>0</v>
      </c>
      <c r="H107" s="92">
        <v>0</v>
      </c>
      <c r="J107" s="21"/>
    </row>
    <row r="113" spans="1:10" ht="21">
      <c r="A113" s="26"/>
      <c r="B113" s="35" t="s">
        <v>109</v>
      </c>
      <c r="C113" s="20" t="s">
        <v>303</v>
      </c>
      <c r="D113" s="38">
        <v>441006</v>
      </c>
      <c r="E113" s="28"/>
      <c r="F113" s="28">
        <v>0</v>
      </c>
      <c r="G113" s="28">
        <f>H113+F113</f>
        <v>0</v>
      </c>
      <c r="H113" s="92">
        <v>0</v>
      </c>
      <c r="J113" s="21"/>
    </row>
    <row r="114" spans="1:10" ht="21">
      <c r="A114" s="26"/>
      <c r="B114" s="35" t="s">
        <v>110</v>
      </c>
      <c r="C114" s="20" t="s">
        <v>290</v>
      </c>
      <c r="D114" s="38">
        <v>441007</v>
      </c>
      <c r="E114" s="28"/>
      <c r="F114" s="28">
        <v>0</v>
      </c>
      <c r="G114" s="28">
        <f>H114+F114</f>
        <v>0</v>
      </c>
      <c r="H114" s="92">
        <v>0</v>
      </c>
      <c r="J114" s="21"/>
    </row>
    <row r="115" spans="1:10" ht="21">
      <c r="A115" s="40"/>
      <c r="B115" s="35" t="s">
        <v>182</v>
      </c>
      <c r="C115" s="20" t="s">
        <v>295</v>
      </c>
      <c r="D115" s="38">
        <v>441009</v>
      </c>
      <c r="E115" s="28">
        <v>0</v>
      </c>
      <c r="F115" s="28">
        <v>0</v>
      </c>
      <c r="G115" s="28">
        <f>H115+F115</f>
        <v>0</v>
      </c>
      <c r="H115" s="92">
        <v>0</v>
      </c>
      <c r="J115" s="21"/>
    </row>
    <row r="116" spans="1:10" ht="21">
      <c r="A116" s="40"/>
      <c r="B116" s="35" t="s">
        <v>302</v>
      </c>
      <c r="C116" s="20" t="s">
        <v>309</v>
      </c>
      <c r="D116" s="38">
        <v>441010</v>
      </c>
      <c r="E116" s="28"/>
      <c r="F116" s="28">
        <v>0</v>
      </c>
      <c r="G116" s="28">
        <f>H116+F116</f>
        <v>0</v>
      </c>
      <c r="H116" s="92">
        <v>0</v>
      </c>
      <c r="J116" s="21"/>
    </row>
    <row r="117" spans="1:10" ht="21">
      <c r="A117" s="40"/>
      <c r="B117" s="35" t="s">
        <v>311</v>
      </c>
      <c r="C117" s="20" t="s">
        <v>312</v>
      </c>
      <c r="D117" s="38">
        <v>441011</v>
      </c>
      <c r="E117" s="28"/>
      <c r="F117" s="28">
        <v>0</v>
      </c>
      <c r="G117" s="28">
        <f>H117+F117</f>
        <v>0</v>
      </c>
      <c r="H117" s="92">
        <v>0</v>
      </c>
      <c r="J117" s="21"/>
    </row>
    <row r="118" spans="1:10" ht="21">
      <c r="A118" s="40"/>
      <c r="B118" s="35" t="s">
        <v>315</v>
      </c>
      <c r="C118" s="20" t="s">
        <v>317</v>
      </c>
      <c r="D118" s="38"/>
      <c r="E118" s="28"/>
      <c r="F118" s="28">
        <v>0</v>
      </c>
      <c r="G118" s="28">
        <v>0</v>
      </c>
      <c r="H118" s="92"/>
      <c r="J118" s="21"/>
    </row>
    <row r="119" spans="1:10" ht="21">
      <c r="A119" s="40"/>
      <c r="B119" s="35" t="s">
        <v>316</v>
      </c>
      <c r="C119" s="20" t="s">
        <v>318</v>
      </c>
      <c r="D119" s="384"/>
      <c r="E119" s="28"/>
      <c r="F119" s="28">
        <v>0</v>
      </c>
      <c r="G119" s="28">
        <v>0</v>
      </c>
      <c r="H119" s="92"/>
      <c r="J119" s="21"/>
    </row>
    <row r="120" spans="1:10" ht="21">
      <c r="A120" s="336"/>
      <c r="B120" s="336"/>
      <c r="C120" s="337" t="s">
        <v>74</v>
      </c>
      <c r="D120" s="304"/>
      <c r="E120" s="32">
        <f>SUM(E108:E115)</f>
        <v>0</v>
      </c>
      <c r="F120" s="32">
        <f>SUM(F108:F119)</f>
        <v>0</v>
      </c>
      <c r="G120" s="32">
        <f>G108+G109+G110+G111+G112+G113+G114+G115+G116+G117+G118+G119</f>
        <v>0</v>
      </c>
      <c r="H120" s="93">
        <f>H108+H109+H110+H111+H112+H113+H114+H115+H116+H117</f>
        <v>0</v>
      </c>
      <c r="I120" s="369">
        <f>G120-H120</f>
        <v>0</v>
      </c>
      <c r="J120" s="21"/>
    </row>
  </sheetData>
  <sheetProtection/>
  <mergeCells count="3">
    <mergeCell ref="D99:G99"/>
    <mergeCell ref="A2:E2"/>
    <mergeCell ref="A3:E3"/>
  </mergeCells>
  <printOptions/>
  <pageMargins left="0.15" right="0.25" top="0.17" bottom="0.19" header="0.16" footer="0.17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73"/>
  <sheetViews>
    <sheetView zoomScalePageLayoutView="0" workbookViewId="0" topLeftCell="A70">
      <selection activeCell="F74" sqref="F74"/>
    </sheetView>
  </sheetViews>
  <sheetFormatPr defaultColWidth="9.140625" defaultRowHeight="21.75"/>
  <cols>
    <col min="1" max="2" width="5.00390625" style="0" customWidth="1"/>
    <col min="3" max="3" width="5.28125" style="0" customWidth="1"/>
    <col min="4" max="4" width="52.00390625" style="0" customWidth="1"/>
    <col min="5" max="6" width="14.421875" style="0" customWidth="1"/>
    <col min="7" max="7" width="15.00390625" style="0" customWidth="1"/>
    <col min="8" max="8" width="16.140625" style="0" customWidth="1"/>
    <col min="9" max="9" width="12.7109375" style="0" customWidth="1"/>
    <col min="10" max="10" width="7.8515625" style="0" customWidth="1"/>
    <col min="13" max="13" width="11.421875" style="0" customWidth="1"/>
  </cols>
  <sheetData>
    <row r="1" spans="1:12" ht="21.75">
      <c r="A1" s="568" t="s">
        <v>77</v>
      </c>
      <c r="B1" s="568"/>
      <c r="C1" s="568"/>
      <c r="D1" s="568"/>
      <c r="E1" s="568"/>
      <c r="F1" s="568"/>
      <c r="G1" s="476"/>
      <c r="H1" s="476"/>
      <c r="I1" s="476"/>
      <c r="J1" s="476"/>
      <c r="K1" s="476"/>
      <c r="L1" s="476"/>
    </row>
    <row r="2" spans="1:12" ht="21.75">
      <c r="A2" s="568" t="s">
        <v>114</v>
      </c>
      <c r="B2" s="568"/>
      <c r="C2" s="568"/>
      <c r="D2" s="568"/>
      <c r="E2" s="568"/>
      <c r="F2" s="568"/>
      <c r="G2" s="476"/>
      <c r="H2" s="476"/>
      <c r="I2" s="476"/>
      <c r="J2" s="476"/>
      <c r="K2" s="476"/>
      <c r="L2" s="476"/>
    </row>
    <row r="3" spans="1:12" ht="21.75">
      <c r="A3" s="574" t="s">
        <v>482</v>
      </c>
      <c r="B3" s="574"/>
      <c r="C3" s="574"/>
      <c r="D3" s="574"/>
      <c r="E3" s="574"/>
      <c r="F3" s="574"/>
      <c r="G3" s="39"/>
      <c r="H3" s="39"/>
      <c r="I3" s="39"/>
      <c r="J3" s="39"/>
      <c r="K3" s="39"/>
      <c r="L3" s="39"/>
    </row>
    <row r="4" spans="4:6" ht="21.75">
      <c r="D4" s="215"/>
      <c r="E4" s="20"/>
      <c r="F4" s="20"/>
    </row>
    <row r="5" spans="4:7" ht="24">
      <c r="D5" s="467" t="s">
        <v>412</v>
      </c>
      <c r="F5" s="470"/>
      <c r="G5" s="469"/>
    </row>
    <row r="6" spans="4:8" ht="24">
      <c r="D6" s="471"/>
      <c r="E6" s="470" t="s">
        <v>6</v>
      </c>
      <c r="F6" s="468"/>
      <c r="G6" s="469"/>
      <c r="H6" s="469"/>
    </row>
    <row r="7" spans="4:7" ht="24">
      <c r="D7" s="499" t="s">
        <v>336</v>
      </c>
      <c r="E7" s="472" t="s">
        <v>413</v>
      </c>
      <c r="F7" s="472"/>
      <c r="G7" s="469"/>
    </row>
    <row r="8" spans="4:7" ht="24">
      <c r="D8" s="499" t="s">
        <v>337</v>
      </c>
      <c r="E8" s="472" t="s">
        <v>414</v>
      </c>
      <c r="F8" s="472"/>
      <c r="G8" s="469"/>
    </row>
    <row r="9" spans="4:7" ht="24">
      <c r="D9" s="499" t="s">
        <v>360</v>
      </c>
      <c r="E9" s="472" t="s">
        <v>414</v>
      </c>
      <c r="F9" s="472"/>
      <c r="G9" s="469"/>
    </row>
    <row r="10" spans="4:7" ht="24">
      <c r="D10" s="499" t="s">
        <v>349</v>
      </c>
      <c r="E10" s="519">
        <f aca="true" t="shared" si="0" ref="E10:E15">G10</f>
        <v>278250</v>
      </c>
      <c r="F10" s="437"/>
      <c r="G10" s="506">
        <f>'หมายเหตุ2  '!G9:H9</f>
        <v>278250</v>
      </c>
    </row>
    <row r="11" spans="4:7" ht="24">
      <c r="D11" s="473" t="s">
        <v>283</v>
      </c>
      <c r="E11" s="519">
        <f t="shared" si="0"/>
        <v>9239</v>
      </c>
      <c r="F11" s="437"/>
      <c r="G11" s="506">
        <f>'หมายเหตุ2  '!G10:H10</f>
        <v>9239</v>
      </c>
    </row>
    <row r="12" spans="4:7" ht="24">
      <c r="D12" s="500" t="s">
        <v>73</v>
      </c>
      <c r="E12" s="519">
        <f t="shared" si="0"/>
        <v>12432.560000000001</v>
      </c>
      <c r="F12" s="437"/>
      <c r="G12" s="506">
        <f>'หมายเหตุ2  '!G11:H11</f>
        <v>12432.560000000001</v>
      </c>
    </row>
    <row r="13" spans="4:7" ht="24">
      <c r="D13" s="500" t="s">
        <v>56</v>
      </c>
      <c r="E13" s="519">
        <f t="shared" si="0"/>
        <v>1624817</v>
      </c>
      <c r="F13" s="437"/>
      <c r="G13" s="506">
        <f>'หมายเหตุ2  '!G12:H12</f>
        <v>1624817</v>
      </c>
    </row>
    <row r="14" spans="4:7" ht="24">
      <c r="D14" s="500" t="s">
        <v>102</v>
      </c>
      <c r="E14" s="519">
        <f t="shared" si="0"/>
        <v>7718.52</v>
      </c>
      <c r="F14" s="437"/>
      <c r="G14" s="506">
        <f>'หมายเหตุ2  '!G13:H13</f>
        <v>7718.52</v>
      </c>
    </row>
    <row r="15" spans="4:7" ht="24">
      <c r="D15" s="500" t="s">
        <v>347</v>
      </c>
      <c r="E15" s="519">
        <f t="shared" si="0"/>
        <v>17674.600000000002</v>
      </c>
      <c r="F15" s="437"/>
      <c r="G15" s="506">
        <f>'หมายเหตุ2  '!G14:H14</f>
        <v>17674.600000000002</v>
      </c>
    </row>
    <row r="16" spans="4:7" ht="24">
      <c r="D16" s="501" t="s">
        <v>184</v>
      </c>
      <c r="E16" s="519">
        <f>G16</f>
        <v>1501267.55</v>
      </c>
      <c r="F16" s="437"/>
      <c r="G16" s="506">
        <f>'หมายเหตุ2  '!G15:H15</f>
        <v>1501267.55</v>
      </c>
    </row>
    <row r="17" spans="4:7" ht="24.75" thickBot="1">
      <c r="D17" s="475" t="s">
        <v>74</v>
      </c>
      <c r="E17" s="316">
        <f>SUM(E10:E16)</f>
        <v>3451399.2300000004</v>
      </c>
      <c r="F17" s="373"/>
      <c r="G17" s="509">
        <f>SUM(G10:G16)</f>
        <v>3451399.2300000004</v>
      </c>
    </row>
    <row r="18" spans="4:8" ht="24.75" thickTop="1">
      <c r="D18" s="475"/>
      <c r="E18" s="474"/>
      <c r="F18" s="474"/>
      <c r="G18" s="469"/>
      <c r="H18" s="469"/>
    </row>
    <row r="38" spans="1:9" ht="23.25">
      <c r="A38" s="572" t="s">
        <v>77</v>
      </c>
      <c r="B38" s="572"/>
      <c r="C38" s="572"/>
      <c r="D38" s="572"/>
      <c r="E38" s="572"/>
      <c r="F38" s="572"/>
      <c r="G38" s="486"/>
      <c r="H38" s="486"/>
      <c r="I38" s="486"/>
    </row>
    <row r="39" spans="1:9" ht="23.25">
      <c r="A39" s="572" t="s">
        <v>114</v>
      </c>
      <c r="B39" s="572"/>
      <c r="C39" s="572"/>
      <c r="D39" s="572"/>
      <c r="E39" s="572"/>
      <c r="F39" s="572"/>
      <c r="G39" s="486"/>
      <c r="H39" s="486"/>
      <c r="I39" s="486"/>
    </row>
    <row r="40" spans="1:9" ht="23.25">
      <c r="A40" s="573" t="str">
        <f>A3</f>
        <v>ณ  วันที่   31   พฤษภาคม  2559</v>
      </c>
      <c r="B40" s="572"/>
      <c r="C40" s="572"/>
      <c r="D40" s="572"/>
      <c r="E40" s="572"/>
      <c r="F40" s="572"/>
      <c r="G40" s="486"/>
      <c r="H40" s="486"/>
      <c r="I40" s="486"/>
    </row>
    <row r="42" spans="2:13" ht="23.25">
      <c r="B42" s="466" t="s">
        <v>395</v>
      </c>
      <c r="C42" s="470"/>
      <c r="D42" s="466"/>
      <c r="E42" s="20"/>
      <c r="F42" s="20"/>
      <c r="G42" s="20"/>
      <c r="H42" s="20"/>
      <c r="I42" s="20"/>
      <c r="J42" s="20"/>
      <c r="K42" s="445" t="s">
        <v>392</v>
      </c>
      <c r="L42" s="20"/>
      <c r="M42" s="21"/>
    </row>
    <row r="43" spans="2:13" ht="23.25">
      <c r="B43" s="477"/>
      <c r="C43" s="400"/>
      <c r="D43" s="23"/>
      <c r="E43" s="20"/>
      <c r="F43" s="485" t="s">
        <v>6</v>
      </c>
      <c r="G43" s="20"/>
      <c r="H43" s="20"/>
      <c r="I43" s="20"/>
      <c r="J43" s="20"/>
      <c r="K43" s="445"/>
      <c r="L43" s="20"/>
      <c r="M43" s="21"/>
    </row>
    <row r="44" spans="2:13" ht="23.25">
      <c r="B44" s="445" t="s">
        <v>117</v>
      </c>
      <c r="C44" s="278"/>
      <c r="D44" s="478"/>
      <c r="G44" s="485" t="s">
        <v>6</v>
      </c>
      <c r="H44" s="479"/>
      <c r="I44" s="392" t="s">
        <v>432</v>
      </c>
      <c r="J44" s="570" t="s">
        <v>135</v>
      </c>
      <c r="K44" s="570"/>
      <c r="L44" s="249"/>
      <c r="M44" s="220" t="s">
        <v>170</v>
      </c>
    </row>
    <row r="45" spans="2:13" ht="23.25">
      <c r="B45" s="445" t="s">
        <v>127</v>
      </c>
      <c r="C45" s="278"/>
      <c r="D45" s="480"/>
      <c r="E45" s="478"/>
      <c r="F45" s="478"/>
      <c r="G45" s="481"/>
      <c r="H45" s="481"/>
      <c r="I45" s="249"/>
      <c r="J45" s="249"/>
      <c r="K45" s="284"/>
      <c r="L45" s="249"/>
      <c r="M45" s="220"/>
    </row>
    <row r="46" spans="2:13" ht="23.25">
      <c r="B46" s="50"/>
      <c r="C46" s="50" t="s">
        <v>416</v>
      </c>
      <c r="D46" s="224"/>
      <c r="E46" s="454"/>
      <c r="F46" s="454"/>
      <c r="G46" s="454">
        <v>248133</v>
      </c>
      <c r="H46" s="482"/>
      <c r="I46" s="454">
        <v>248133</v>
      </c>
      <c r="J46" s="454"/>
      <c r="K46" s="454"/>
      <c r="L46" s="249"/>
      <c r="M46" s="220"/>
    </row>
    <row r="47" spans="2:13" ht="23.25">
      <c r="B47" s="278" t="s">
        <v>150</v>
      </c>
      <c r="C47" s="50"/>
      <c r="D47" s="224"/>
      <c r="E47" s="482"/>
      <c r="F47" s="482"/>
      <c r="G47" s="482"/>
      <c r="H47" s="280"/>
      <c r="I47" s="388"/>
      <c r="J47" s="571">
        <f>M47-I47</f>
        <v>248133</v>
      </c>
      <c r="K47" s="571"/>
      <c r="L47" s="388"/>
      <c r="M47" s="388">
        <v>248133</v>
      </c>
    </row>
    <row r="48" spans="2:13" ht="23.25">
      <c r="B48" s="50"/>
      <c r="C48" s="50" t="s">
        <v>417</v>
      </c>
      <c r="D48" s="224"/>
      <c r="E48" s="376"/>
      <c r="F48" s="376"/>
      <c r="G48" s="376">
        <v>320700</v>
      </c>
      <c r="H48" s="280"/>
      <c r="I48" s="284">
        <v>320700</v>
      </c>
      <c r="J48" s="388"/>
      <c r="K48" s="388"/>
      <c r="L48" s="388"/>
      <c r="M48" s="388"/>
    </row>
    <row r="49" spans="2:13" ht="23.25">
      <c r="B49" s="50"/>
      <c r="C49" s="50" t="s">
        <v>418</v>
      </c>
      <c r="D49" s="50"/>
      <c r="E49" s="376"/>
      <c r="F49" s="376"/>
      <c r="G49" s="376">
        <v>283000</v>
      </c>
      <c r="H49" s="483"/>
      <c r="I49" s="284">
        <v>283000</v>
      </c>
      <c r="J49" s="284"/>
      <c r="K49" s="284"/>
      <c r="L49" s="249"/>
      <c r="M49" s="220"/>
    </row>
    <row r="50" spans="2:13" ht="23.25">
      <c r="B50" s="50"/>
      <c r="C50" s="50" t="s">
        <v>419</v>
      </c>
      <c r="D50" s="50"/>
      <c r="E50" s="482"/>
      <c r="F50" s="482"/>
      <c r="G50" s="482">
        <v>160000</v>
      </c>
      <c r="H50" s="482"/>
      <c r="I50" s="284">
        <v>160000</v>
      </c>
      <c r="J50" s="571">
        <f aca="true" t="shared" si="1" ref="J50:J56">M50-I48</f>
        <v>0</v>
      </c>
      <c r="K50" s="571"/>
      <c r="L50" s="388"/>
      <c r="M50" s="284">
        <v>320700</v>
      </c>
    </row>
    <row r="51" spans="2:13" ht="23.25">
      <c r="B51" s="50"/>
      <c r="C51" s="50" t="s">
        <v>420</v>
      </c>
      <c r="D51" s="50"/>
      <c r="E51" s="482"/>
      <c r="F51" s="482"/>
      <c r="G51" s="482">
        <v>645000</v>
      </c>
      <c r="H51" s="482"/>
      <c r="I51" s="284">
        <v>645000</v>
      </c>
      <c r="J51" s="571">
        <f t="shared" si="1"/>
        <v>0</v>
      </c>
      <c r="K51" s="571"/>
      <c r="L51" s="249"/>
      <c r="M51" s="220">
        <v>283000</v>
      </c>
    </row>
    <row r="52" spans="2:13" ht="23.25">
      <c r="B52" s="50"/>
      <c r="C52" s="50" t="s">
        <v>421</v>
      </c>
      <c r="D52" s="50"/>
      <c r="E52" s="482"/>
      <c r="F52" s="482"/>
      <c r="G52" s="482">
        <v>299400</v>
      </c>
      <c r="H52" s="482"/>
      <c r="I52" s="284">
        <f>M54</f>
        <v>299400</v>
      </c>
      <c r="J52" s="571">
        <f t="shared" si="1"/>
        <v>0</v>
      </c>
      <c r="K52" s="571"/>
      <c r="L52" s="249"/>
      <c r="M52" s="220">
        <v>160000</v>
      </c>
    </row>
    <row r="53" spans="2:13" ht="23.25">
      <c r="B53" s="50"/>
      <c r="C53" s="50" t="s">
        <v>422</v>
      </c>
      <c r="D53" s="50"/>
      <c r="E53" s="482"/>
      <c r="F53" s="482"/>
      <c r="G53" s="482">
        <v>629000</v>
      </c>
      <c r="H53" s="482"/>
      <c r="I53" s="284">
        <v>629000</v>
      </c>
      <c r="J53" s="571">
        <f t="shared" si="1"/>
        <v>0</v>
      </c>
      <c r="K53" s="571"/>
      <c r="L53" s="249"/>
      <c r="M53" s="220">
        <v>645000</v>
      </c>
    </row>
    <row r="54" spans="2:13" ht="23.25">
      <c r="B54" s="50"/>
      <c r="C54" s="50" t="s">
        <v>423</v>
      </c>
      <c r="D54" s="50"/>
      <c r="E54" s="482"/>
      <c r="F54" s="482"/>
      <c r="G54" s="482">
        <v>768000</v>
      </c>
      <c r="H54" s="482"/>
      <c r="I54" s="284">
        <v>768000</v>
      </c>
      <c r="J54" s="571">
        <f t="shared" si="1"/>
        <v>0</v>
      </c>
      <c r="K54" s="571"/>
      <c r="L54" s="249"/>
      <c r="M54" s="220">
        <v>299400</v>
      </c>
    </row>
    <row r="55" spans="2:13" ht="23.25">
      <c r="B55" s="50"/>
      <c r="C55" s="50" t="s">
        <v>424</v>
      </c>
      <c r="D55" s="50"/>
      <c r="E55" s="482"/>
      <c r="F55" s="482"/>
      <c r="G55" s="482">
        <v>299000</v>
      </c>
      <c r="H55" s="482"/>
      <c r="I55" s="284">
        <v>299000</v>
      </c>
      <c r="J55" s="571">
        <f t="shared" si="1"/>
        <v>0</v>
      </c>
      <c r="K55" s="571"/>
      <c r="L55" s="249"/>
      <c r="M55" s="220">
        <v>629000</v>
      </c>
    </row>
    <row r="56" spans="2:13" ht="23.25">
      <c r="B56" s="50"/>
      <c r="C56" s="50" t="s">
        <v>425</v>
      </c>
      <c r="D56" s="50"/>
      <c r="E56" s="482"/>
      <c r="F56" s="482"/>
      <c r="G56" s="482">
        <v>506000</v>
      </c>
      <c r="H56" s="482"/>
      <c r="I56" s="284">
        <v>506000</v>
      </c>
      <c r="J56" s="571">
        <f t="shared" si="1"/>
        <v>0</v>
      </c>
      <c r="K56" s="571"/>
      <c r="L56" s="249"/>
      <c r="M56" s="220">
        <v>768000</v>
      </c>
    </row>
    <row r="57" spans="2:13" ht="23.25">
      <c r="B57" s="50"/>
      <c r="C57" s="50" t="s">
        <v>426</v>
      </c>
      <c r="D57" s="50"/>
      <c r="E57" s="482"/>
      <c r="F57" s="482"/>
      <c r="G57" s="482">
        <v>468000</v>
      </c>
      <c r="H57" s="482"/>
      <c r="I57" s="284">
        <v>468000</v>
      </c>
      <c r="J57" s="571">
        <f>M57</f>
        <v>299000</v>
      </c>
      <c r="K57" s="571"/>
      <c r="L57" s="249"/>
      <c r="M57" s="220">
        <v>299000</v>
      </c>
    </row>
    <row r="58" spans="2:13" ht="23.25">
      <c r="B58" s="50"/>
      <c r="C58" s="50" t="s">
        <v>427</v>
      </c>
      <c r="D58" s="50"/>
      <c r="E58" s="482"/>
      <c r="F58" s="482"/>
      <c r="G58" s="482">
        <v>169000</v>
      </c>
      <c r="H58" s="482"/>
      <c r="I58" s="284">
        <f>M60</f>
        <v>169000</v>
      </c>
      <c r="J58" s="571">
        <f>M58-I56</f>
        <v>0</v>
      </c>
      <c r="K58" s="571"/>
      <c r="L58" s="249"/>
      <c r="M58" s="220">
        <v>506000</v>
      </c>
    </row>
    <row r="59" spans="2:13" ht="23.25">
      <c r="B59" s="50"/>
      <c r="C59" s="50" t="s">
        <v>428</v>
      </c>
      <c r="D59" s="50"/>
      <c r="E59" s="482"/>
      <c r="F59" s="482"/>
      <c r="G59" s="482">
        <v>448000</v>
      </c>
      <c r="H59" s="484"/>
      <c r="I59" s="282">
        <v>448000</v>
      </c>
      <c r="J59" s="571">
        <f>M59-I57</f>
        <v>0</v>
      </c>
      <c r="K59" s="571"/>
      <c r="L59" s="249"/>
      <c r="M59" s="220">
        <v>468000</v>
      </c>
    </row>
    <row r="60" spans="2:13" ht="23.25">
      <c r="B60" s="50"/>
      <c r="C60" s="50" t="s">
        <v>429</v>
      </c>
      <c r="D60" s="50"/>
      <c r="E60" s="482"/>
      <c r="F60" s="482"/>
      <c r="G60" s="482">
        <v>56000</v>
      </c>
      <c r="H60" s="484"/>
      <c r="I60" s="282">
        <v>56000</v>
      </c>
      <c r="J60" s="571">
        <f>M60-I58</f>
        <v>0</v>
      </c>
      <c r="K60" s="571"/>
      <c r="L60" s="249"/>
      <c r="M60" s="220">
        <v>169000</v>
      </c>
    </row>
    <row r="61" spans="2:13" ht="23.25">
      <c r="B61" s="445" t="s">
        <v>26</v>
      </c>
      <c r="C61" s="50"/>
      <c r="D61" s="50"/>
      <c r="E61" s="484"/>
      <c r="F61" s="484"/>
      <c r="G61" s="484"/>
      <c r="H61" s="484"/>
      <c r="J61" s="571">
        <f>M61-I59</f>
        <v>0</v>
      </c>
      <c r="K61" s="571"/>
      <c r="L61" s="221"/>
      <c r="M61" s="42">
        <v>448000</v>
      </c>
    </row>
    <row r="62" spans="2:13" ht="23.25">
      <c r="B62" s="50"/>
      <c r="C62" s="50" t="s">
        <v>430</v>
      </c>
      <c r="D62" s="50"/>
      <c r="E62" s="484"/>
      <c r="F62" s="484"/>
      <c r="G62" s="484">
        <v>2110</v>
      </c>
      <c r="H62" s="224"/>
      <c r="I62" s="488">
        <v>2110</v>
      </c>
      <c r="J62" s="571">
        <f>M62-I60</f>
        <v>0</v>
      </c>
      <c r="K62" s="571"/>
      <c r="L62" s="221"/>
      <c r="M62" s="21">
        <v>56000</v>
      </c>
    </row>
    <row r="63" spans="2:13" ht="24" thickBot="1">
      <c r="B63" s="445" t="s">
        <v>409</v>
      </c>
      <c r="C63" s="51"/>
      <c r="D63" s="50"/>
      <c r="E63" s="50"/>
      <c r="F63" s="50"/>
      <c r="G63" s="50"/>
      <c r="H63" s="50"/>
      <c r="J63" s="382"/>
      <c r="K63" s="382"/>
      <c r="L63" s="20"/>
      <c r="M63" s="223">
        <f>SUM(M47:M62)</f>
        <v>5299233</v>
      </c>
    </row>
    <row r="64" spans="2:9" ht="24" thickTop="1">
      <c r="B64" s="50"/>
      <c r="C64" s="50" t="s">
        <v>430</v>
      </c>
      <c r="D64" s="50"/>
      <c r="E64" s="50"/>
      <c r="F64" s="437">
        <v>0</v>
      </c>
      <c r="G64" s="437">
        <v>10900</v>
      </c>
      <c r="H64" s="50"/>
      <c r="I64" s="488">
        <v>10900</v>
      </c>
    </row>
    <row r="65" spans="2:8" ht="23.25">
      <c r="B65" s="445" t="s">
        <v>142</v>
      </c>
      <c r="C65" s="50"/>
      <c r="D65" s="50"/>
      <c r="E65" s="50"/>
      <c r="F65" s="50"/>
      <c r="G65" s="437"/>
      <c r="H65" s="50"/>
    </row>
    <row r="66" spans="2:9" ht="23.25">
      <c r="B66" s="50"/>
      <c r="C66" s="50" t="s">
        <v>431</v>
      </c>
      <c r="D66" s="50"/>
      <c r="E66" s="50"/>
      <c r="F66" s="50"/>
      <c r="G66" s="437">
        <v>8779</v>
      </c>
      <c r="H66" s="50"/>
      <c r="I66">
        <v>8779</v>
      </c>
    </row>
    <row r="67" spans="2:8" ht="23.25">
      <c r="B67" s="445" t="s">
        <v>408</v>
      </c>
      <c r="C67" s="50"/>
      <c r="D67" s="50"/>
      <c r="E67" s="50"/>
      <c r="F67" s="50"/>
      <c r="G67" s="437"/>
      <c r="H67" s="50"/>
    </row>
    <row r="68" spans="2:9" ht="23.25">
      <c r="B68" s="50"/>
      <c r="C68" s="50" t="s">
        <v>431</v>
      </c>
      <c r="D68" s="50"/>
      <c r="E68" s="50"/>
      <c r="F68" s="50">
        <v>0</v>
      </c>
      <c r="G68" s="437">
        <v>545</v>
      </c>
      <c r="H68" s="50"/>
      <c r="I68">
        <v>545</v>
      </c>
    </row>
    <row r="69" spans="2:9" ht="24" thickBot="1">
      <c r="B69" s="50"/>
      <c r="C69" s="50"/>
      <c r="D69" s="498" t="s">
        <v>74</v>
      </c>
      <c r="E69" s="50"/>
      <c r="F69" s="491">
        <f>SUM(F64:F68)</f>
        <v>0</v>
      </c>
      <c r="G69" s="491">
        <f>SUM(G46:G68)</f>
        <v>5321567</v>
      </c>
      <c r="H69" s="423"/>
      <c r="I69" s="487">
        <f>SUM(I46:I68)</f>
        <v>5321567</v>
      </c>
    </row>
    <row r="70" spans="2:8" ht="24" thickTop="1">
      <c r="B70" s="50"/>
      <c r="C70" s="50"/>
      <c r="D70" s="50"/>
      <c r="E70" s="50"/>
      <c r="F70" s="50"/>
      <c r="G70" s="50"/>
      <c r="H70" s="50"/>
    </row>
    <row r="71" spans="2:9" ht="23.25">
      <c r="B71" s="50"/>
      <c r="C71" s="50"/>
      <c r="D71" s="50"/>
      <c r="E71" s="50"/>
      <c r="F71" s="50"/>
      <c r="G71" s="50"/>
      <c r="H71" s="50"/>
      <c r="I71" s="489"/>
    </row>
    <row r="73" ht="21.75">
      <c r="I73" s="490"/>
    </row>
  </sheetData>
  <sheetProtection/>
  <mergeCells count="21">
    <mergeCell ref="A38:F38"/>
    <mergeCell ref="A39:F39"/>
    <mergeCell ref="A40:F40"/>
    <mergeCell ref="A1:F1"/>
    <mergeCell ref="A2:F2"/>
    <mergeCell ref="A3:F3"/>
    <mergeCell ref="J62:K62"/>
    <mergeCell ref="J60:K60"/>
    <mergeCell ref="J61:K61"/>
    <mergeCell ref="J50:K50"/>
    <mergeCell ref="J51:K51"/>
    <mergeCell ref="J52:K52"/>
    <mergeCell ref="J54:K54"/>
    <mergeCell ref="J55:K55"/>
    <mergeCell ref="J44:K44"/>
    <mergeCell ref="J47:K47"/>
    <mergeCell ref="J59:K59"/>
    <mergeCell ref="J56:K56"/>
    <mergeCell ref="J57:K57"/>
    <mergeCell ref="J58:K58"/>
    <mergeCell ref="J53:K53"/>
  </mergeCells>
  <printOptions/>
  <pageMargins left="0.31496062992125984" right="0.15748031496062992" top="0.2362204724409449" bottom="0.2755905511811024" header="0.15748031496062992" footer="0.2362204724409449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81"/>
  <sheetViews>
    <sheetView zoomScalePageLayoutView="0" workbookViewId="0" topLeftCell="A4">
      <selection activeCell="B18" sqref="B18"/>
    </sheetView>
  </sheetViews>
  <sheetFormatPr defaultColWidth="9.140625" defaultRowHeight="21.75"/>
  <cols>
    <col min="1" max="1" width="38.57421875" style="20" customWidth="1"/>
    <col min="2" max="2" width="15.421875" style="20" customWidth="1"/>
    <col min="3" max="3" width="7.8515625" style="20" customWidth="1"/>
    <col min="4" max="4" width="7.00390625" style="20" customWidth="1"/>
    <col min="5" max="5" width="6.8515625" style="20" customWidth="1"/>
    <col min="6" max="6" width="7.28125" style="20" customWidth="1"/>
    <col min="7" max="7" width="6.28125" style="20" customWidth="1"/>
    <col min="8" max="8" width="7.140625" style="20" customWidth="1"/>
    <col min="9" max="10" width="11.140625" style="20" bestFit="1" customWidth="1"/>
    <col min="11" max="11" width="12.00390625" style="21" bestFit="1" customWidth="1"/>
    <col min="12" max="12" width="11.28125" style="21" customWidth="1"/>
    <col min="13" max="13" width="11.140625" style="21" bestFit="1" customWidth="1"/>
    <col min="14" max="14" width="11.140625" style="21" customWidth="1"/>
    <col min="15" max="16" width="8.140625" style="21" bestFit="1" customWidth="1"/>
    <col min="17" max="17" width="9.8515625" style="21" bestFit="1" customWidth="1"/>
    <col min="18" max="16384" width="9.140625" style="20" customWidth="1"/>
  </cols>
  <sheetData>
    <row r="1" spans="1:10" ht="21.75" customHeight="1">
      <c r="A1" s="568" t="s">
        <v>77</v>
      </c>
      <c r="B1" s="568"/>
      <c r="C1" s="568"/>
      <c r="D1" s="568"/>
      <c r="E1" s="568"/>
      <c r="F1" s="568"/>
      <c r="G1" s="568"/>
      <c r="H1" s="568"/>
      <c r="I1" s="568"/>
      <c r="J1" s="30"/>
    </row>
    <row r="2" spans="1:10" ht="21.75" customHeight="1">
      <c r="A2" s="568" t="s">
        <v>114</v>
      </c>
      <c r="B2" s="568"/>
      <c r="C2" s="568"/>
      <c r="D2" s="568"/>
      <c r="E2" s="568"/>
      <c r="F2" s="568"/>
      <c r="G2" s="568"/>
      <c r="H2" s="568"/>
      <c r="I2" s="568"/>
      <c r="J2" s="30"/>
    </row>
    <row r="3" spans="1:17" ht="21.75" customHeight="1">
      <c r="A3" s="574" t="s">
        <v>482</v>
      </c>
      <c r="B3" s="574"/>
      <c r="C3" s="574"/>
      <c r="D3" s="574"/>
      <c r="E3" s="574"/>
      <c r="F3" s="574"/>
      <c r="G3" s="574"/>
      <c r="H3" s="574"/>
      <c r="I3" s="574"/>
      <c r="J3" s="248"/>
      <c r="K3" s="251"/>
      <c r="L3" s="251"/>
      <c r="M3" s="251"/>
      <c r="N3" s="252"/>
      <c r="O3" s="251"/>
      <c r="P3" s="251"/>
      <c r="Q3" s="251"/>
    </row>
    <row r="4" spans="1:10" ht="14.25" customHeight="1">
      <c r="A4" s="215"/>
      <c r="B4" s="215"/>
      <c r="C4" s="215"/>
      <c r="D4" s="215"/>
      <c r="E4" s="215"/>
      <c r="F4" s="215"/>
      <c r="G4" s="215"/>
      <c r="J4" s="21"/>
    </row>
    <row r="5" spans="1:17" s="218" customFormat="1" ht="25.5" customHeight="1">
      <c r="A5" s="217" t="s">
        <v>393</v>
      </c>
      <c r="B5" s="331" t="s">
        <v>17</v>
      </c>
      <c r="C5" s="591" t="s">
        <v>99</v>
      </c>
      <c r="D5" s="592"/>
      <c r="E5" s="593" t="s">
        <v>100</v>
      </c>
      <c r="F5" s="593"/>
      <c r="G5" s="593" t="s">
        <v>101</v>
      </c>
      <c r="H5" s="593"/>
      <c r="J5" s="21"/>
      <c r="K5" s="21"/>
      <c r="L5" s="21"/>
      <c r="M5" s="21"/>
      <c r="N5" s="21"/>
      <c r="O5" s="21"/>
      <c r="P5" s="21"/>
      <c r="Q5" s="21"/>
    </row>
    <row r="6" spans="1:17" s="218" customFormat="1" ht="25.5" customHeight="1">
      <c r="A6" s="419" t="s">
        <v>336</v>
      </c>
      <c r="B6" s="425">
        <v>0</v>
      </c>
      <c r="C6" s="582">
        <v>0</v>
      </c>
      <c r="D6" s="583"/>
      <c r="E6" s="608">
        <v>0</v>
      </c>
      <c r="F6" s="609"/>
      <c r="G6" s="582">
        <f>B6+C6-E6</f>
        <v>0</v>
      </c>
      <c r="H6" s="583"/>
      <c r="J6" s="21"/>
      <c r="K6" s="21"/>
      <c r="L6" s="21"/>
      <c r="M6" s="21"/>
      <c r="N6" s="21"/>
      <c r="O6" s="21"/>
      <c r="P6" s="21"/>
      <c r="Q6" s="21"/>
    </row>
    <row r="7" spans="1:17" s="218" customFormat="1" ht="25.5" customHeight="1">
      <c r="A7" s="419" t="s">
        <v>337</v>
      </c>
      <c r="B7" s="425">
        <v>0</v>
      </c>
      <c r="C7" s="582">
        <v>0</v>
      </c>
      <c r="D7" s="583"/>
      <c r="E7" s="582">
        <v>0</v>
      </c>
      <c r="F7" s="583"/>
      <c r="G7" s="582">
        <f>B7+C7-E7</f>
        <v>0</v>
      </c>
      <c r="H7" s="583"/>
      <c r="J7" s="21"/>
      <c r="K7" s="21"/>
      <c r="L7" s="21"/>
      <c r="M7" s="21"/>
      <c r="N7" s="21"/>
      <c r="O7" s="21"/>
      <c r="P7" s="21"/>
      <c r="Q7" s="21"/>
    </row>
    <row r="8" spans="1:17" s="218" customFormat="1" ht="25.5" customHeight="1">
      <c r="A8" s="419" t="s">
        <v>360</v>
      </c>
      <c r="B8" s="425">
        <v>0</v>
      </c>
      <c r="C8" s="582">
        <v>0</v>
      </c>
      <c r="D8" s="583"/>
      <c r="E8" s="433"/>
      <c r="F8" s="434"/>
      <c r="G8" s="582">
        <f>B8+C8-E8</f>
        <v>0</v>
      </c>
      <c r="H8" s="583"/>
      <c r="J8" s="21"/>
      <c r="K8" s="21"/>
      <c r="L8" s="21"/>
      <c r="M8" s="21"/>
      <c r="N8" s="21"/>
      <c r="O8" s="21"/>
      <c r="P8" s="21"/>
      <c r="Q8" s="21"/>
    </row>
    <row r="9" spans="1:17" s="218" customFormat="1" ht="25.5" customHeight="1">
      <c r="A9" s="514" t="s">
        <v>349</v>
      </c>
      <c r="B9" s="522">
        <v>314530</v>
      </c>
      <c r="C9" s="582">
        <v>0</v>
      </c>
      <c r="D9" s="583"/>
      <c r="E9" s="582">
        <f>'ใบผ่านมาตรฐาน 1, 2'!F59</f>
        <v>36280</v>
      </c>
      <c r="F9" s="583"/>
      <c r="G9" s="578">
        <f>B9+C9-E9</f>
        <v>278250</v>
      </c>
      <c r="H9" s="579"/>
      <c r="J9" s="21"/>
      <c r="K9" s="21"/>
      <c r="L9" s="21"/>
      <c r="M9" s="21"/>
      <c r="N9" s="21"/>
      <c r="O9" s="21"/>
      <c r="P9" s="21"/>
      <c r="Q9" s="21"/>
    </row>
    <row r="10" spans="1:17" s="218" customFormat="1" ht="25.5" customHeight="1">
      <c r="A10" s="515" t="s">
        <v>332</v>
      </c>
      <c r="B10" s="522">
        <v>9083</v>
      </c>
      <c r="C10" s="582">
        <f>'ใบผ่านมาตรฐาน 1, 2'!G65</f>
        <v>11747</v>
      </c>
      <c r="D10" s="583"/>
      <c r="E10" s="582">
        <f>'ใบผ่านมาตรฐาน 1, 2'!F58</f>
        <v>11591</v>
      </c>
      <c r="F10" s="583"/>
      <c r="G10" s="594">
        <f aca="true" t="shared" si="0" ref="G10:G15">B10+C10-E10</f>
        <v>9239</v>
      </c>
      <c r="H10" s="595"/>
      <c r="J10" s="21"/>
      <c r="K10" s="21"/>
      <c r="L10" s="21"/>
      <c r="M10" s="21"/>
      <c r="N10" s="21"/>
      <c r="O10" s="21"/>
      <c r="P10" s="21"/>
      <c r="Q10" s="21"/>
    </row>
    <row r="11" spans="1:11" s="21" customFormat="1" ht="25.5" customHeight="1">
      <c r="A11" s="513" t="s">
        <v>73</v>
      </c>
      <c r="B11" s="523">
        <v>7553.3</v>
      </c>
      <c r="C11" s="584">
        <f>'ใบผ่านมาตรฐาน 1, 2'!G64</f>
        <v>12432.56</v>
      </c>
      <c r="D11" s="585"/>
      <c r="E11" s="584">
        <f>'ใบผ่านมาตรฐาน 1, 2'!F56</f>
        <v>7553.3</v>
      </c>
      <c r="F11" s="585"/>
      <c r="G11" s="580">
        <f t="shared" si="0"/>
        <v>12432.560000000001</v>
      </c>
      <c r="H11" s="581"/>
      <c r="K11" s="21">
        <f>SUM(B10:B15)</f>
        <v>3201257.1799999997</v>
      </c>
    </row>
    <row r="12" spans="1:8" s="21" customFormat="1" ht="25.5" customHeight="1">
      <c r="A12" s="513" t="s">
        <v>56</v>
      </c>
      <c r="B12" s="523">
        <v>1649217</v>
      </c>
      <c r="C12" s="584">
        <f>'ใบผ่านมาตรฐาน 1, 2'!G21</f>
        <v>3600</v>
      </c>
      <c r="D12" s="585"/>
      <c r="E12" s="584">
        <f>'ใบผ่านมาตรฐาน 1, 2'!F57</f>
        <v>28000</v>
      </c>
      <c r="F12" s="585"/>
      <c r="G12" s="580">
        <f t="shared" si="0"/>
        <v>1624817</v>
      </c>
      <c r="H12" s="581"/>
    </row>
    <row r="13" spans="1:8" s="21" customFormat="1" ht="25.5" customHeight="1">
      <c r="A13" s="513" t="s">
        <v>102</v>
      </c>
      <c r="B13" s="523">
        <v>19990.68</v>
      </c>
      <c r="C13" s="584">
        <f>'ใบผ่านมาตรฐาน 1, 2'!G19</f>
        <v>793.14</v>
      </c>
      <c r="D13" s="585"/>
      <c r="E13" s="596">
        <f>'ใบผ่านมาตรฐาน 1, 2'!F60</f>
        <v>13065.3</v>
      </c>
      <c r="F13" s="597"/>
      <c r="G13" s="580">
        <f>B13+C13-E13</f>
        <v>7718.52</v>
      </c>
      <c r="H13" s="581"/>
    </row>
    <row r="14" spans="1:8" s="21" customFormat="1" ht="25.5" customHeight="1">
      <c r="A14" s="513" t="s">
        <v>347</v>
      </c>
      <c r="B14" s="523">
        <v>17013.65</v>
      </c>
      <c r="C14" s="584">
        <f>'ใบผ่านมาตรฐาน 1, 2'!G20</f>
        <v>660.95</v>
      </c>
      <c r="D14" s="585"/>
      <c r="E14" s="507"/>
      <c r="F14" s="508"/>
      <c r="G14" s="580">
        <f t="shared" si="0"/>
        <v>17674.600000000002</v>
      </c>
      <c r="H14" s="581"/>
    </row>
    <row r="15" spans="1:8" s="21" customFormat="1" ht="25.5" customHeight="1">
      <c r="A15" s="219" t="s">
        <v>184</v>
      </c>
      <c r="B15" s="523">
        <v>1498399.55</v>
      </c>
      <c r="C15" s="584">
        <v>2868</v>
      </c>
      <c r="D15" s="585"/>
      <c r="E15" s="596">
        <v>0</v>
      </c>
      <c r="F15" s="597"/>
      <c r="G15" s="580">
        <f t="shared" si="0"/>
        <v>1501267.55</v>
      </c>
      <c r="H15" s="581"/>
    </row>
    <row r="16" spans="1:8" s="21" customFormat="1" ht="25.5" customHeight="1">
      <c r="A16" s="219" t="s">
        <v>459</v>
      </c>
      <c r="B16" s="28"/>
      <c r="C16" s="598">
        <v>0</v>
      </c>
      <c r="D16" s="599"/>
      <c r="E16" s="600">
        <v>0</v>
      </c>
      <c r="F16" s="601"/>
      <c r="G16" s="580">
        <f>B16+C16-E16</f>
        <v>0</v>
      </c>
      <c r="H16" s="581"/>
    </row>
    <row r="17" spans="1:16" ht="25.5" customHeight="1">
      <c r="A17" s="220" t="s">
        <v>74</v>
      </c>
      <c r="B17" s="355">
        <f>SUM(B6:B15)</f>
        <v>3515787.1799999997</v>
      </c>
      <c r="C17" s="576">
        <f>SUM(C6:D16)</f>
        <v>32101.649999999998</v>
      </c>
      <c r="D17" s="577"/>
      <c r="E17" s="576">
        <f>SUM(E6:F16)</f>
        <v>96489.6</v>
      </c>
      <c r="F17" s="577"/>
      <c r="G17" s="576">
        <f>SUM(G6:H16)</f>
        <v>3451399.2300000004</v>
      </c>
      <c r="H17" s="577"/>
      <c r="I17" s="21"/>
      <c r="J17" s="21"/>
      <c r="L17" s="92"/>
      <c r="N17" s="92"/>
      <c r="P17" s="92"/>
    </row>
    <row r="18" spans="1:16" ht="25.5" customHeight="1">
      <c r="A18" s="220"/>
      <c r="B18" s="386"/>
      <c r="C18" s="221"/>
      <c r="D18" s="221"/>
      <c r="E18" s="221"/>
      <c r="F18" s="221"/>
      <c r="G18" s="221"/>
      <c r="H18" s="221"/>
      <c r="I18" s="21"/>
      <c r="J18" s="21"/>
      <c r="L18" s="92"/>
      <c r="N18" s="92"/>
      <c r="P18" s="92"/>
    </row>
    <row r="19" spans="1:16" ht="28.5" customHeight="1">
      <c r="A19" s="220"/>
      <c r="B19" s="386"/>
      <c r="C19" s="221"/>
      <c r="D19" s="221"/>
      <c r="E19" s="221"/>
      <c r="F19" s="221"/>
      <c r="G19" s="221"/>
      <c r="H19" s="221"/>
      <c r="I19" s="21"/>
      <c r="J19" s="21"/>
      <c r="L19" s="92"/>
      <c r="N19" s="92"/>
      <c r="P19" s="92"/>
    </row>
    <row r="20" spans="1:14" ht="22.5" customHeight="1">
      <c r="A20" s="30" t="s">
        <v>234</v>
      </c>
      <c r="B20" s="221" t="s">
        <v>158</v>
      </c>
      <c r="D20" s="570" t="s">
        <v>120</v>
      </c>
      <c r="E20" s="570"/>
      <c r="F20" s="570"/>
      <c r="H20" s="570" t="s">
        <v>300</v>
      </c>
      <c r="I20" s="570"/>
      <c r="K20" s="220" t="s">
        <v>170</v>
      </c>
      <c r="N20" s="21" t="s">
        <v>257</v>
      </c>
    </row>
    <row r="21" spans="1:14" ht="22.5" customHeight="1">
      <c r="A21" s="280" t="s">
        <v>117</v>
      </c>
      <c r="H21" s="575"/>
      <c r="I21" s="575"/>
      <c r="J21" s="215" t="s">
        <v>74</v>
      </c>
      <c r="L21" s="21">
        <v>0</v>
      </c>
      <c r="N21" s="21">
        <v>730000</v>
      </c>
    </row>
    <row r="22" spans="1:11" ht="22.5" customHeight="1">
      <c r="A22" s="280" t="s">
        <v>363</v>
      </c>
      <c r="B22" s="21">
        <v>0</v>
      </c>
      <c r="D22" s="575">
        <v>8779</v>
      </c>
      <c r="E22" s="575"/>
      <c r="F22" s="439"/>
      <c r="H22" s="220"/>
      <c r="I22" s="220">
        <f>K22-D22</f>
        <v>0</v>
      </c>
      <c r="J22" s="215"/>
      <c r="K22" s="68">
        <v>8779</v>
      </c>
    </row>
    <row r="23" spans="1:11" ht="22.5" customHeight="1">
      <c r="A23" s="438" t="s">
        <v>364</v>
      </c>
      <c r="B23" s="21">
        <v>0</v>
      </c>
      <c r="D23" s="575">
        <v>2110</v>
      </c>
      <c r="E23" s="575"/>
      <c r="H23" s="571">
        <f>K23-D23</f>
        <v>0</v>
      </c>
      <c r="I23" s="571"/>
      <c r="K23" s="68">
        <v>2110</v>
      </c>
    </row>
    <row r="24" spans="1:11" ht="24.75" customHeight="1">
      <c r="A24" s="281"/>
      <c r="B24" s="21"/>
      <c r="D24" s="374"/>
      <c r="E24" s="375"/>
      <c r="H24" s="220">
        <v>0</v>
      </c>
      <c r="I24" s="220"/>
      <c r="K24" s="21">
        <f>K22+K23</f>
        <v>10889</v>
      </c>
    </row>
    <row r="25" spans="1:10" ht="22.5" customHeight="1" thickBot="1">
      <c r="A25" s="30" t="s">
        <v>74</v>
      </c>
      <c r="B25" s="300">
        <f>B22+B23</f>
        <v>0</v>
      </c>
      <c r="C25" s="279"/>
      <c r="D25" s="589">
        <f>D22+D23</f>
        <v>10889</v>
      </c>
      <c r="E25" s="590"/>
      <c r="F25" s="279"/>
      <c r="G25" s="279"/>
      <c r="H25" s="279"/>
      <c r="I25" s="396">
        <f>H23</f>
        <v>0</v>
      </c>
      <c r="J25" s="21">
        <v>0</v>
      </c>
    </row>
    <row r="26" spans="1:10" ht="22.5" customHeight="1" thickTop="1">
      <c r="A26" s="30"/>
      <c r="B26" s="389"/>
      <c r="C26" s="40"/>
      <c r="D26" s="374"/>
      <c r="E26" s="375"/>
      <c r="F26" s="40"/>
      <c r="G26" s="40"/>
      <c r="H26" s="40"/>
      <c r="I26" s="389"/>
      <c r="J26" s="21"/>
    </row>
    <row r="27" spans="1:10" ht="22.5" customHeight="1">
      <c r="A27" s="30"/>
      <c r="B27" s="389"/>
      <c r="C27" s="40"/>
      <c r="D27" s="374"/>
      <c r="E27" s="375"/>
      <c r="F27" s="40"/>
      <c r="G27" s="40"/>
      <c r="H27" s="40"/>
      <c r="I27" s="389"/>
      <c r="J27" s="21"/>
    </row>
    <row r="28" spans="1:10" ht="22.5" customHeight="1">
      <c r="A28" s="30"/>
      <c r="B28" s="389"/>
      <c r="C28" s="40"/>
      <c r="D28" s="374"/>
      <c r="E28" s="375"/>
      <c r="F28" s="40"/>
      <c r="G28" s="40"/>
      <c r="H28" s="40"/>
      <c r="I28" s="389"/>
      <c r="J28" s="21"/>
    </row>
    <row r="29" spans="1:10" ht="22.5" customHeight="1">
      <c r="A29" s="30"/>
      <c r="B29" s="389"/>
      <c r="C29" s="40"/>
      <c r="D29" s="374"/>
      <c r="E29" s="375"/>
      <c r="F29" s="40"/>
      <c r="G29" s="40"/>
      <c r="H29" s="40"/>
      <c r="I29" s="389"/>
      <c r="J29" s="21"/>
    </row>
    <row r="30" spans="1:10" ht="22.5" customHeight="1">
      <c r="A30" s="30"/>
      <c r="B30" s="389"/>
      <c r="C30" s="40"/>
      <c r="D30" s="374"/>
      <c r="E30" s="375"/>
      <c r="F30" s="40"/>
      <c r="G30" s="40"/>
      <c r="H30" s="40"/>
      <c r="I30" s="389"/>
      <c r="J30" s="21"/>
    </row>
    <row r="31" spans="1:10" ht="22.5" customHeight="1">
      <c r="A31" s="30"/>
      <c r="B31" s="389"/>
      <c r="C31" s="40"/>
      <c r="D31" s="374"/>
      <c r="E31" s="375"/>
      <c r="F31" s="40"/>
      <c r="G31" s="40"/>
      <c r="H31" s="40"/>
      <c r="I31" s="389"/>
      <c r="J31" s="21"/>
    </row>
    <row r="32" spans="1:10" ht="22.5" customHeight="1">
      <c r="A32" s="30"/>
      <c r="B32" s="389"/>
      <c r="C32" s="40"/>
      <c r="D32" s="374"/>
      <c r="E32" s="375"/>
      <c r="F32" s="40"/>
      <c r="G32" s="40"/>
      <c r="H32" s="40"/>
      <c r="I32" s="389"/>
      <c r="J32" s="21"/>
    </row>
    <row r="33" spans="1:10" ht="22.5" customHeight="1">
      <c r="A33" s="30"/>
      <c r="B33" s="389"/>
      <c r="C33" s="40"/>
      <c r="D33" s="374"/>
      <c r="E33" s="375"/>
      <c r="F33" s="40"/>
      <c r="G33" s="40"/>
      <c r="H33" s="40"/>
      <c r="I33" s="389"/>
      <c r="J33" s="21"/>
    </row>
    <row r="34" spans="1:10" ht="22.5" customHeight="1">
      <c r="A34" s="30"/>
      <c r="B34" s="389"/>
      <c r="C34" s="40"/>
      <c r="D34" s="374"/>
      <c r="E34" s="375"/>
      <c r="F34" s="40"/>
      <c r="G34" s="40"/>
      <c r="H34" s="40"/>
      <c r="I34" s="389"/>
      <c r="J34" s="21"/>
    </row>
    <row r="35" spans="1:10" ht="22.5" customHeight="1">
      <c r="A35" s="30"/>
      <c r="B35" s="389"/>
      <c r="C35" s="40"/>
      <c r="D35" s="374"/>
      <c r="E35" s="375"/>
      <c r="F35" s="40"/>
      <c r="G35" s="40"/>
      <c r="H35" s="40"/>
      <c r="I35" s="389"/>
      <c r="J35" s="21"/>
    </row>
    <row r="36" spans="1:10" ht="22.5" customHeight="1">
      <c r="A36" s="30"/>
      <c r="B36" s="389"/>
      <c r="C36" s="40"/>
      <c r="D36" s="374"/>
      <c r="E36" s="375"/>
      <c r="F36" s="40"/>
      <c r="G36" s="40"/>
      <c r="H36" s="40"/>
      <c r="I36" s="389"/>
      <c r="J36" s="21"/>
    </row>
    <row r="37" spans="1:10" ht="12.75" customHeight="1">
      <c r="A37" s="30"/>
      <c r="B37" s="389"/>
      <c r="C37" s="40"/>
      <c r="D37" s="374"/>
      <c r="E37" s="375"/>
      <c r="F37" s="40"/>
      <c r="G37" s="40"/>
      <c r="H37" s="40"/>
      <c r="I37" s="389"/>
      <c r="J37" s="21"/>
    </row>
    <row r="38" spans="1:10" ht="29.25" customHeight="1">
      <c r="A38" s="30"/>
      <c r="B38" s="389"/>
      <c r="C38" s="40"/>
      <c r="D38" s="374"/>
      <c r="E38" s="375"/>
      <c r="F38" s="40"/>
      <c r="G38" s="40"/>
      <c r="H38" s="588" t="s">
        <v>415</v>
      </c>
      <c r="I38" s="588"/>
      <c r="J38" s="21"/>
    </row>
    <row r="39" spans="1:9" ht="31.5" customHeight="1">
      <c r="A39" s="400" t="s">
        <v>173</v>
      </c>
      <c r="I39" s="445" t="s">
        <v>392</v>
      </c>
    </row>
    <row r="40" spans="1:17" s="21" customFormat="1" ht="23.25" customHeight="1">
      <c r="A40" s="277" t="s">
        <v>117</v>
      </c>
      <c r="C40" s="587" t="s">
        <v>158</v>
      </c>
      <c r="D40" s="587"/>
      <c r="E40" s="392" t="s">
        <v>324</v>
      </c>
      <c r="F40" s="392"/>
      <c r="G40" s="392"/>
      <c r="H40" s="570" t="s">
        <v>135</v>
      </c>
      <c r="I40" s="570"/>
      <c r="J40" s="249"/>
      <c r="K40" s="220" t="s">
        <v>170</v>
      </c>
      <c r="L40" s="220"/>
      <c r="Q40" s="21">
        <f>253395.94-114625</f>
        <v>138770.94</v>
      </c>
    </row>
    <row r="41" spans="1:12" s="21" customFormat="1" ht="27.75" customHeight="1">
      <c r="A41" s="277" t="s">
        <v>322</v>
      </c>
      <c r="B41" s="221"/>
      <c r="C41" s="222"/>
      <c r="D41" s="249"/>
      <c r="E41" s="249"/>
      <c r="F41" s="249"/>
      <c r="G41" s="222"/>
      <c r="H41" s="249"/>
      <c r="I41" s="284"/>
      <c r="J41" s="249"/>
      <c r="K41" s="220"/>
      <c r="L41" s="220"/>
    </row>
    <row r="42" spans="1:12" s="21" customFormat="1" ht="26.25" customHeight="1">
      <c r="A42" s="390" t="s">
        <v>127</v>
      </c>
      <c r="B42" s="282"/>
      <c r="C42" s="283"/>
      <c r="D42" s="376"/>
      <c r="E42" s="376"/>
      <c r="F42" s="454"/>
      <c r="G42" s="454"/>
      <c r="H42" s="454"/>
      <c r="I42" s="454"/>
      <c r="J42" s="249"/>
      <c r="K42" s="220"/>
      <c r="L42" s="220"/>
    </row>
    <row r="43" spans="1:12" s="283" customFormat="1" ht="20.25" customHeight="1">
      <c r="A43" s="382" t="s">
        <v>338</v>
      </c>
      <c r="B43" s="282"/>
      <c r="C43" s="586">
        <v>0</v>
      </c>
      <c r="D43" s="586"/>
      <c r="E43" s="399"/>
      <c r="F43" s="571">
        <v>248133</v>
      </c>
      <c r="G43" s="571"/>
      <c r="H43" s="571">
        <f>K43-F43</f>
        <v>0</v>
      </c>
      <c r="I43" s="571"/>
      <c r="J43" s="388"/>
      <c r="K43" s="388">
        <v>248133</v>
      </c>
      <c r="L43" s="284"/>
    </row>
    <row r="44" spans="1:12" s="283" customFormat="1" ht="20.25" customHeight="1">
      <c r="A44" s="382"/>
      <c r="B44" s="282"/>
      <c r="C44" s="284"/>
      <c r="D44" s="284"/>
      <c r="E44" s="399"/>
      <c r="F44" s="388"/>
      <c r="G44" s="388"/>
      <c r="H44" s="388"/>
      <c r="I44" s="388"/>
      <c r="J44" s="388"/>
      <c r="K44" s="388"/>
      <c r="L44" s="284"/>
    </row>
    <row r="45" spans="1:12" ht="20.25" customHeight="1">
      <c r="A45" s="278" t="s">
        <v>323</v>
      </c>
      <c r="B45" s="282"/>
      <c r="C45" s="283"/>
      <c r="D45" s="284"/>
      <c r="E45" s="284"/>
      <c r="F45" s="284"/>
      <c r="G45" s="283"/>
      <c r="H45" s="284"/>
      <c r="I45" s="284"/>
      <c r="J45" s="249"/>
      <c r="K45" s="220"/>
      <c r="L45" s="220"/>
    </row>
    <row r="46" spans="1:17" s="382" customFormat="1" ht="20.25" customHeight="1">
      <c r="A46" s="440" t="s">
        <v>365</v>
      </c>
      <c r="B46" s="282"/>
      <c r="C46" s="586">
        <v>0</v>
      </c>
      <c r="D46" s="586"/>
      <c r="E46" s="376"/>
      <c r="F46" s="586">
        <v>320700</v>
      </c>
      <c r="G46" s="586"/>
      <c r="H46" s="571">
        <f aca="true" t="shared" si="1" ref="H46:H52">K46-F46</f>
        <v>0</v>
      </c>
      <c r="I46" s="571"/>
      <c r="J46" s="388"/>
      <c r="K46" s="284">
        <v>320700</v>
      </c>
      <c r="L46" s="284"/>
      <c r="M46" s="283"/>
      <c r="N46" s="283"/>
      <c r="O46" s="283"/>
      <c r="P46" s="283"/>
      <c r="Q46" s="283"/>
    </row>
    <row r="47" spans="1:12" ht="20.25" customHeight="1">
      <c r="A47" s="382" t="s">
        <v>366</v>
      </c>
      <c r="B47" s="382"/>
      <c r="C47" s="586">
        <v>0</v>
      </c>
      <c r="D47" s="586"/>
      <c r="E47" s="376"/>
      <c r="F47" s="586">
        <v>283000</v>
      </c>
      <c r="G47" s="586"/>
      <c r="H47" s="571">
        <f t="shared" si="1"/>
        <v>0</v>
      </c>
      <c r="I47" s="571"/>
      <c r="J47" s="249"/>
      <c r="K47" s="220">
        <v>283000</v>
      </c>
      <c r="L47" s="220"/>
    </row>
    <row r="48" spans="1:12" ht="20.25" customHeight="1">
      <c r="A48" s="382" t="s">
        <v>367</v>
      </c>
      <c r="B48" s="382"/>
      <c r="C48" s="586">
        <v>0</v>
      </c>
      <c r="D48" s="586"/>
      <c r="E48" s="376"/>
      <c r="F48" s="586">
        <v>157455</v>
      </c>
      <c r="G48" s="586"/>
      <c r="H48" s="571">
        <f t="shared" si="1"/>
        <v>2545</v>
      </c>
      <c r="I48" s="571"/>
      <c r="J48" s="249"/>
      <c r="K48" s="220">
        <v>160000</v>
      </c>
      <c r="L48" s="220"/>
    </row>
    <row r="49" spans="1:12" ht="20.25" customHeight="1">
      <c r="A49" s="382" t="s">
        <v>368</v>
      </c>
      <c r="B49" s="382"/>
      <c r="C49" s="586">
        <v>0</v>
      </c>
      <c r="D49" s="586"/>
      <c r="E49" s="376"/>
      <c r="F49" s="586">
        <v>645000</v>
      </c>
      <c r="G49" s="586"/>
      <c r="H49" s="571">
        <f t="shared" si="1"/>
        <v>0</v>
      </c>
      <c r="I49" s="571"/>
      <c r="J49" s="249"/>
      <c r="K49" s="220">
        <v>645000</v>
      </c>
      <c r="L49" s="220"/>
    </row>
    <row r="50" spans="1:12" ht="20.25" customHeight="1">
      <c r="A50" s="382" t="s">
        <v>369</v>
      </c>
      <c r="B50" s="382"/>
      <c r="C50" s="586">
        <v>0</v>
      </c>
      <c r="D50" s="586"/>
      <c r="E50" s="376"/>
      <c r="F50" s="586">
        <f>K50</f>
        <v>299400</v>
      </c>
      <c r="G50" s="586"/>
      <c r="H50" s="571">
        <f t="shared" si="1"/>
        <v>0</v>
      </c>
      <c r="I50" s="571"/>
      <c r="J50" s="249"/>
      <c r="K50" s="220">
        <v>299400</v>
      </c>
      <c r="L50" s="220"/>
    </row>
    <row r="51" spans="1:12" ht="20.25" customHeight="1">
      <c r="A51" s="382" t="s">
        <v>370</v>
      </c>
      <c r="B51" s="50"/>
      <c r="C51" s="586">
        <v>0</v>
      </c>
      <c r="D51" s="586"/>
      <c r="E51" s="376"/>
      <c r="F51" s="586">
        <v>581430.9</v>
      </c>
      <c r="G51" s="586"/>
      <c r="H51" s="571">
        <f t="shared" si="1"/>
        <v>47569.09999999998</v>
      </c>
      <c r="I51" s="571"/>
      <c r="J51" s="249"/>
      <c r="K51" s="220">
        <v>629000</v>
      </c>
      <c r="L51" s="220"/>
    </row>
    <row r="52" spans="1:12" ht="20.25" customHeight="1">
      <c r="A52" s="382" t="s">
        <v>371</v>
      </c>
      <c r="B52" s="50"/>
      <c r="C52" s="586">
        <v>0</v>
      </c>
      <c r="D52" s="586"/>
      <c r="E52" s="376"/>
      <c r="F52" s="586">
        <v>685230.09</v>
      </c>
      <c r="G52" s="586"/>
      <c r="H52" s="571">
        <f t="shared" si="1"/>
        <v>82769.91000000003</v>
      </c>
      <c r="I52" s="571"/>
      <c r="J52" s="249"/>
      <c r="K52" s="220">
        <v>768000</v>
      </c>
      <c r="L52" s="220"/>
    </row>
    <row r="53" spans="1:12" ht="20.25" customHeight="1">
      <c r="A53" s="382" t="s">
        <v>372</v>
      </c>
      <c r="B53" s="50"/>
      <c r="C53" s="586">
        <v>0</v>
      </c>
      <c r="D53" s="586"/>
      <c r="E53" s="376"/>
      <c r="F53" s="586">
        <v>0</v>
      </c>
      <c r="G53" s="586"/>
      <c r="H53" s="571">
        <f>K53</f>
        <v>299000</v>
      </c>
      <c r="I53" s="571"/>
      <c r="J53" s="249"/>
      <c r="K53" s="220">
        <v>299000</v>
      </c>
      <c r="L53" s="220"/>
    </row>
    <row r="54" spans="1:12" ht="20.25" customHeight="1">
      <c r="A54" s="440" t="s">
        <v>377</v>
      </c>
      <c r="B54" s="50"/>
      <c r="C54" s="586">
        <v>461459</v>
      </c>
      <c r="D54" s="586"/>
      <c r="E54" s="376"/>
      <c r="F54" s="586">
        <v>461459</v>
      </c>
      <c r="G54" s="586"/>
      <c r="H54" s="571">
        <f>K54-F54</f>
        <v>44541</v>
      </c>
      <c r="I54" s="571"/>
      <c r="J54" s="249"/>
      <c r="K54" s="220">
        <v>506000</v>
      </c>
      <c r="L54" s="220"/>
    </row>
    <row r="55" spans="1:12" ht="20.25" customHeight="1">
      <c r="A55" s="382" t="s">
        <v>373</v>
      </c>
      <c r="B55" s="382"/>
      <c r="C55" s="586">
        <v>0</v>
      </c>
      <c r="D55" s="586"/>
      <c r="E55" s="393"/>
      <c r="F55" s="586">
        <v>423459</v>
      </c>
      <c r="G55" s="586"/>
      <c r="H55" s="571">
        <f>K55-F55</f>
        <v>44541</v>
      </c>
      <c r="I55" s="571"/>
      <c r="J55" s="249"/>
      <c r="K55" s="220">
        <v>468000</v>
      </c>
      <c r="L55" s="220"/>
    </row>
    <row r="56" spans="1:12" ht="20.25" customHeight="1">
      <c r="A56" s="382" t="s">
        <v>374</v>
      </c>
      <c r="B56" s="382"/>
      <c r="C56" s="586">
        <v>0</v>
      </c>
      <c r="D56" s="586"/>
      <c r="E56" s="393"/>
      <c r="F56" s="586">
        <f>K56</f>
        <v>169000</v>
      </c>
      <c r="G56" s="586"/>
      <c r="H56" s="571">
        <f>K56-F56</f>
        <v>0</v>
      </c>
      <c r="I56" s="571"/>
      <c r="J56" s="249"/>
      <c r="K56" s="220">
        <v>169000</v>
      </c>
      <c r="L56" s="220"/>
    </row>
    <row r="57" spans="1:12" ht="20.25" customHeight="1">
      <c r="A57" s="382" t="s">
        <v>375</v>
      </c>
      <c r="B57" s="382"/>
      <c r="C57" s="605">
        <v>0</v>
      </c>
      <c r="D57" s="605"/>
      <c r="E57" s="393"/>
      <c r="F57" s="605">
        <v>448000</v>
      </c>
      <c r="G57" s="605"/>
      <c r="H57" s="571">
        <f>K57-F57</f>
        <v>0</v>
      </c>
      <c r="I57" s="571"/>
      <c r="J57" s="221"/>
      <c r="K57" s="42">
        <v>448000</v>
      </c>
      <c r="L57" s="42">
        <v>0</v>
      </c>
    </row>
    <row r="58" spans="1:11" ht="20.25" customHeight="1">
      <c r="A58" s="382" t="s">
        <v>376</v>
      </c>
      <c r="B58" s="50"/>
      <c r="C58" s="605">
        <v>0</v>
      </c>
      <c r="D58" s="605"/>
      <c r="E58" s="282"/>
      <c r="F58" s="605">
        <v>56000</v>
      </c>
      <c r="G58" s="605"/>
      <c r="H58" s="571">
        <f>K58-F58</f>
        <v>0</v>
      </c>
      <c r="I58" s="571"/>
      <c r="J58" s="221"/>
      <c r="K58" s="21">
        <v>56000</v>
      </c>
    </row>
    <row r="59" spans="1:11" ht="20.25" customHeight="1" thickBot="1">
      <c r="A59" s="391"/>
      <c r="C59" s="382"/>
      <c r="D59" s="382"/>
      <c r="E59" s="382"/>
      <c r="F59" s="382"/>
      <c r="G59" s="382"/>
      <c r="H59" s="382"/>
      <c r="I59" s="382"/>
      <c r="K59" s="223">
        <f>SUM(K43:K58)</f>
        <v>5299233</v>
      </c>
    </row>
    <row r="60" spans="1:9" ht="22.5" thickBot="1" thickTop="1">
      <c r="A60" s="395" t="s">
        <v>74</v>
      </c>
      <c r="B60" s="394"/>
      <c r="C60" s="602">
        <f>C43+C46+C47+C48+C49+C50+C51+C52+C53+C54+C55+C56+C57+C58</f>
        <v>461459</v>
      </c>
      <c r="D60" s="603"/>
      <c r="E60" s="394"/>
      <c r="F60" s="602">
        <f>F43+F46+F47+F48+F49+F50+F51+F52+F53+F54+F55+F56+F57+F58</f>
        <v>4778266.99</v>
      </c>
      <c r="G60" s="604"/>
      <c r="H60" s="610">
        <f>SUM(H43:I59)</f>
        <v>520966.01</v>
      </c>
      <c r="I60" s="611"/>
    </row>
    <row r="61" ht="21.75" thickTop="1">
      <c r="K61" s="21">
        <f>K59-H60</f>
        <v>4778266.99</v>
      </c>
    </row>
    <row r="64" ht="21">
      <c r="K64" s="220" t="s">
        <v>328</v>
      </c>
    </row>
    <row r="65" spans="11:12" ht="21">
      <c r="K65" s="92">
        <f>'[2]หมายเหตุ2  '!$F$60</f>
        <v>2325989.9</v>
      </c>
      <c r="L65" s="21" t="s">
        <v>326</v>
      </c>
    </row>
    <row r="66" spans="11:12" ht="21">
      <c r="K66" s="404">
        <f>F60</f>
        <v>4778266.99</v>
      </c>
      <c r="L66" s="21" t="s">
        <v>327</v>
      </c>
    </row>
    <row r="67" spans="11:12" ht="21">
      <c r="K67" s="403">
        <f>K59-K66</f>
        <v>520966.0099999998</v>
      </c>
      <c r="L67" s="21" t="s">
        <v>329</v>
      </c>
    </row>
    <row r="78" spans="11:12" ht="21.75" thickBot="1">
      <c r="K78" s="223">
        <f>SUM(K65:K77)</f>
        <v>7625222.9</v>
      </c>
      <c r="L78" s="21" t="s">
        <v>74</v>
      </c>
    </row>
    <row r="79" ht="21.75" thickTop="1"/>
    <row r="81" spans="1:17" s="218" customFormat="1" ht="25.5" customHeight="1">
      <c r="A81" s="420" t="s">
        <v>344</v>
      </c>
      <c r="B81" s="340">
        <v>640</v>
      </c>
      <c r="C81" s="582">
        <f>'ใบผ่านมาตรฐาน 1, 2'!G134</f>
        <v>0</v>
      </c>
      <c r="D81" s="583"/>
      <c r="E81" s="582">
        <f>'ใบผ่านมาตรฐาน 1, 2'!G134</f>
        <v>0</v>
      </c>
      <c r="F81" s="583"/>
      <c r="G81" s="606">
        <f>B81+C81-E81</f>
        <v>640</v>
      </c>
      <c r="H81" s="607"/>
      <c r="J81" s="21"/>
      <c r="K81" s="21">
        <f>SUM(C80:D85)</f>
        <v>0</v>
      </c>
      <c r="L81" s="21"/>
      <c r="M81" s="21"/>
      <c r="N81" s="21"/>
      <c r="O81" s="21"/>
      <c r="P81" s="21"/>
      <c r="Q81" s="21"/>
    </row>
  </sheetData>
  <sheetProtection/>
  <mergeCells count="98">
    <mergeCell ref="C81:D81"/>
    <mergeCell ref="E81:F81"/>
    <mergeCell ref="G81:H81"/>
    <mergeCell ref="E6:F6"/>
    <mergeCell ref="E7:F7"/>
    <mergeCell ref="H60:I60"/>
    <mergeCell ref="H56:I56"/>
    <mergeCell ref="H57:I57"/>
    <mergeCell ref="H58:I58"/>
    <mergeCell ref="F51:G51"/>
    <mergeCell ref="F56:G56"/>
    <mergeCell ref="F57:G57"/>
    <mergeCell ref="H48:I48"/>
    <mergeCell ref="H49:I49"/>
    <mergeCell ref="F47:G47"/>
    <mergeCell ref="H46:I46"/>
    <mergeCell ref="F46:G46"/>
    <mergeCell ref="F48:G48"/>
    <mergeCell ref="F49:G49"/>
    <mergeCell ref="H50:I50"/>
    <mergeCell ref="H51:I51"/>
    <mergeCell ref="H52:I52"/>
    <mergeCell ref="F50:G50"/>
    <mergeCell ref="C60:D60"/>
    <mergeCell ref="F60:G60"/>
    <mergeCell ref="C56:D56"/>
    <mergeCell ref="C57:D57"/>
    <mergeCell ref="C58:D58"/>
    <mergeCell ref="F58:G58"/>
    <mergeCell ref="F55:G55"/>
    <mergeCell ref="H53:I53"/>
    <mergeCell ref="H54:I54"/>
    <mergeCell ref="H55:I55"/>
    <mergeCell ref="F54:G54"/>
    <mergeCell ref="F52:G52"/>
    <mergeCell ref="F53:G53"/>
    <mergeCell ref="C55:D55"/>
    <mergeCell ref="C48:D48"/>
    <mergeCell ref="C49:D49"/>
    <mergeCell ref="C50:D50"/>
    <mergeCell ref="C51:D51"/>
    <mergeCell ref="C54:D54"/>
    <mergeCell ref="C52:D52"/>
    <mergeCell ref="C53:D53"/>
    <mergeCell ref="E5:F5"/>
    <mergeCell ref="G10:H10"/>
    <mergeCell ref="H23:I23"/>
    <mergeCell ref="D20:F20"/>
    <mergeCell ref="G15:H15"/>
    <mergeCell ref="E15:F15"/>
    <mergeCell ref="E13:F13"/>
    <mergeCell ref="C15:D15"/>
    <mergeCell ref="C16:D16"/>
    <mergeCell ref="E16:F16"/>
    <mergeCell ref="A1:I1"/>
    <mergeCell ref="A2:I2"/>
    <mergeCell ref="A3:I3"/>
    <mergeCell ref="C12:D12"/>
    <mergeCell ref="E11:F11"/>
    <mergeCell ref="C5:D5"/>
    <mergeCell ref="C11:D11"/>
    <mergeCell ref="G11:H11"/>
    <mergeCell ref="G5:H5"/>
    <mergeCell ref="G6:H6"/>
    <mergeCell ref="D25:E25"/>
    <mergeCell ref="G7:H7"/>
    <mergeCell ref="G17:H17"/>
    <mergeCell ref="C10:D10"/>
    <mergeCell ref="D23:E23"/>
    <mergeCell ref="H20:I20"/>
    <mergeCell ref="G8:H8"/>
    <mergeCell ref="C17:D17"/>
    <mergeCell ref="G14:H14"/>
    <mergeCell ref="E9:F9"/>
    <mergeCell ref="C43:D43"/>
    <mergeCell ref="C46:D46"/>
    <mergeCell ref="C47:D47"/>
    <mergeCell ref="H21:I21"/>
    <mergeCell ref="C40:D40"/>
    <mergeCell ref="F43:G43"/>
    <mergeCell ref="H43:I43"/>
    <mergeCell ref="H38:I38"/>
    <mergeCell ref="H40:I40"/>
    <mergeCell ref="H47:I47"/>
    <mergeCell ref="C6:D6"/>
    <mergeCell ref="C7:D7"/>
    <mergeCell ref="C13:D13"/>
    <mergeCell ref="C14:D14"/>
    <mergeCell ref="C9:D9"/>
    <mergeCell ref="C8:D8"/>
    <mergeCell ref="D22:E22"/>
    <mergeCell ref="E17:F17"/>
    <mergeCell ref="G9:H9"/>
    <mergeCell ref="G12:H12"/>
    <mergeCell ref="E10:F10"/>
    <mergeCell ref="G13:H13"/>
    <mergeCell ref="E12:F12"/>
    <mergeCell ref="G16:H16"/>
  </mergeCells>
  <printOptions/>
  <pageMargins left="0.33" right="0.16" top="0.23" bottom="0.29" header="0.14" footer="0.2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73"/>
  <sheetViews>
    <sheetView zoomScalePageLayoutView="0" workbookViewId="0" topLeftCell="A67">
      <selection activeCell="L61" sqref="L61"/>
    </sheetView>
  </sheetViews>
  <sheetFormatPr defaultColWidth="9.140625" defaultRowHeight="21.75"/>
  <cols>
    <col min="1" max="1" width="5.57421875" style="103" customWidth="1"/>
    <col min="2" max="2" width="18.00390625" style="103" customWidth="1"/>
    <col min="3" max="3" width="2.7109375" style="103" customWidth="1"/>
    <col min="4" max="4" width="18.00390625" style="103" customWidth="1"/>
    <col min="5" max="5" width="6.8515625" style="103" customWidth="1"/>
    <col min="6" max="6" width="16.7109375" style="103" customWidth="1"/>
    <col min="7" max="7" width="7.00390625" style="103" customWidth="1"/>
    <col min="8" max="8" width="4.28125" style="103" customWidth="1"/>
    <col min="9" max="9" width="15.140625" style="103" customWidth="1"/>
    <col min="10" max="10" width="4.8515625" style="103" bestFit="1" customWidth="1"/>
    <col min="11" max="11" width="12.7109375" style="103" customWidth="1"/>
    <col min="12" max="12" width="17.00390625" style="103" customWidth="1"/>
    <col min="13" max="13" width="17.8515625" style="103" customWidth="1"/>
    <col min="14" max="16384" width="9.140625" style="103" customWidth="1"/>
  </cols>
  <sheetData>
    <row r="1" spans="1:6" s="138" customFormat="1" ht="24" customHeight="1">
      <c r="A1" s="138" t="s">
        <v>50</v>
      </c>
      <c r="E1" s="139"/>
      <c r="F1" s="144" t="s">
        <v>160</v>
      </c>
    </row>
    <row r="2" s="138" customFormat="1" ht="18.75" customHeight="1">
      <c r="E2" s="139"/>
    </row>
    <row r="3" spans="1:7" s="138" customFormat="1" ht="26.25" customHeight="1">
      <c r="A3" s="138" t="s">
        <v>40</v>
      </c>
      <c r="E3" s="139"/>
      <c r="F3" s="138" t="s">
        <v>51</v>
      </c>
      <c r="G3" s="138" t="s">
        <v>297</v>
      </c>
    </row>
    <row r="4" spans="1:9" s="106" customFormat="1" ht="18.75" customHeight="1">
      <c r="A4" s="125"/>
      <c r="B4" s="125"/>
      <c r="C4" s="125"/>
      <c r="D4" s="125"/>
      <c r="E4" s="126"/>
      <c r="F4" s="125"/>
      <c r="G4" s="125"/>
      <c r="H4" s="125"/>
      <c r="I4" s="125"/>
    </row>
    <row r="5" spans="1:11" ht="27" customHeight="1">
      <c r="A5" s="106" t="s">
        <v>141</v>
      </c>
      <c r="B5" s="106"/>
      <c r="C5" s="106"/>
      <c r="D5" s="106"/>
      <c r="E5" s="106"/>
      <c r="F5" s="127" t="s">
        <v>496</v>
      </c>
      <c r="G5" s="106"/>
      <c r="H5" s="128"/>
      <c r="I5" s="136">
        <v>5793578.39</v>
      </c>
      <c r="J5" s="122" t="s">
        <v>15</v>
      </c>
      <c r="K5" s="310" t="s">
        <v>252</v>
      </c>
    </row>
    <row r="6" spans="1:8" ht="32.25" customHeight="1">
      <c r="A6" s="123" t="s">
        <v>41</v>
      </c>
      <c r="B6" s="103" t="s">
        <v>42</v>
      </c>
      <c r="H6" s="129"/>
    </row>
    <row r="7" spans="2:8" ht="21" customHeight="1">
      <c r="B7" s="130" t="s">
        <v>43</v>
      </c>
      <c r="C7" s="131"/>
      <c r="D7" s="130" t="s">
        <v>52</v>
      </c>
      <c r="E7" s="131"/>
      <c r="F7" s="130" t="s">
        <v>6</v>
      </c>
      <c r="G7" s="130"/>
      <c r="H7" s="129"/>
    </row>
    <row r="8" spans="2:8" ht="21" customHeight="1">
      <c r="B8" s="130"/>
      <c r="C8" s="131"/>
      <c r="D8" s="130"/>
      <c r="E8" s="131"/>
      <c r="F8" s="130"/>
      <c r="G8" s="130"/>
      <c r="H8" s="129"/>
    </row>
    <row r="9" spans="2:8" ht="21" customHeight="1">
      <c r="B9" s="137"/>
      <c r="C9" s="137"/>
      <c r="D9" s="137"/>
      <c r="E9" s="131"/>
      <c r="F9" s="377"/>
      <c r="G9" s="130"/>
      <c r="H9" s="129"/>
    </row>
    <row r="10" spans="2:8" ht="21" customHeight="1">
      <c r="B10" s="377"/>
      <c r="C10" s="131"/>
      <c r="D10" s="377"/>
      <c r="E10" s="131"/>
      <c r="F10" s="377"/>
      <c r="G10" s="130"/>
      <c r="H10" s="129"/>
    </row>
    <row r="11" spans="2:9" ht="21" customHeight="1" thickBot="1">
      <c r="B11" s="377"/>
      <c r="C11" s="131"/>
      <c r="D11" s="377"/>
      <c r="E11" s="131"/>
      <c r="F11" s="377"/>
      <c r="G11" s="130"/>
      <c r="H11" s="129"/>
      <c r="I11" s="428"/>
    </row>
    <row r="12" spans="2:8" ht="21" customHeight="1" thickTop="1">
      <c r="B12" s="377"/>
      <c r="C12" s="131"/>
      <c r="D12" s="377"/>
      <c r="E12" s="131"/>
      <c r="F12" s="377"/>
      <c r="G12" s="130"/>
      <c r="H12" s="129"/>
    </row>
    <row r="13" spans="2:8" ht="21" customHeight="1">
      <c r="B13" s="130"/>
      <c r="C13" s="131"/>
      <c r="D13" s="130"/>
      <c r="E13" s="131"/>
      <c r="F13" s="130"/>
      <c r="G13" s="130"/>
      <c r="H13" s="129"/>
    </row>
    <row r="14" spans="1:8" ht="24" customHeight="1">
      <c r="A14" s="123" t="s">
        <v>45</v>
      </c>
      <c r="B14" s="103" t="s">
        <v>53</v>
      </c>
      <c r="H14" s="129"/>
    </row>
    <row r="15" spans="2:8" ht="21.75">
      <c r="B15" s="130" t="s">
        <v>0</v>
      </c>
      <c r="C15" s="131"/>
      <c r="D15" s="130" t="s">
        <v>44</v>
      </c>
      <c r="E15" s="131"/>
      <c r="F15" s="130" t="s">
        <v>6</v>
      </c>
      <c r="G15" s="130"/>
      <c r="H15" s="129"/>
    </row>
    <row r="16" spans="2:8" s="6" customFormat="1" ht="19.5" customHeight="1">
      <c r="B16" s="256"/>
      <c r="C16" s="181"/>
      <c r="D16" s="285"/>
      <c r="E16" s="181"/>
      <c r="F16" s="117"/>
      <c r="G16" s="247"/>
      <c r="H16" s="177"/>
    </row>
    <row r="17" spans="2:10" s="6" customFormat="1" ht="19.5" customHeight="1">
      <c r="B17" s="459" t="s">
        <v>474</v>
      </c>
      <c r="C17" s="181"/>
      <c r="D17" s="285" t="s">
        <v>475</v>
      </c>
      <c r="E17" s="181"/>
      <c r="F17" s="117">
        <v>1834</v>
      </c>
      <c r="G17" s="247" t="s">
        <v>15</v>
      </c>
      <c r="H17" s="177"/>
      <c r="I17" s="226"/>
      <c r="J17" s="247"/>
    </row>
    <row r="18" spans="2:10" s="6" customFormat="1" ht="19.5" customHeight="1">
      <c r="B18" s="459" t="s">
        <v>474</v>
      </c>
      <c r="C18" s="181"/>
      <c r="D18" s="285" t="s">
        <v>476</v>
      </c>
      <c r="E18" s="181"/>
      <c r="F18" s="117">
        <v>2500</v>
      </c>
      <c r="G18" s="247" t="s">
        <v>15</v>
      </c>
      <c r="H18" s="177"/>
      <c r="I18" s="226"/>
      <c r="J18" s="247"/>
    </row>
    <row r="19" spans="2:10" s="6" customFormat="1" ht="19.5" customHeight="1">
      <c r="B19" s="256"/>
      <c r="C19" s="181"/>
      <c r="D19" s="285"/>
      <c r="E19" s="181"/>
      <c r="F19" s="117"/>
      <c r="G19" s="247"/>
      <c r="H19" s="177"/>
      <c r="I19" s="226"/>
      <c r="J19" s="247"/>
    </row>
    <row r="20" spans="2:10" s="6" customFormat="1" ht="19.5" customHeight="1">
      <c r="B20" s="256"/>
      <c r="C20" s="181"/>
      <c r="D20" s="285"/>
      <c r="E20" s="181"/>
      <c r="F20" s="117"/>
      <c r="G20" s="247"/>
      <c r="H20" s="177"/>
      <c r="I20" s="226"/>
      <c r="J20" s="247"/>
    </row>
    <row r="21" spans="2:10" s="6" customFormat="1" ht="19.5" customHeight="1">
      <c r="B21" s="256"/>
      <c r="C21" s="181"/>
      <c r="D21" s="285"/>
      <c r="E21" s="181"/>
      <c r="F21" s="117"/>
      <c r="G21" s="247"/>
      <c r="H21" s="177"/>
      <c r="I21" s="226"/>
      <c r="J21" s="247"/>
    </row>
    <row r="22" spans="2:10" s="6" customFormat="1" ht="19.5" customHeight="1" thickBot="1">
      <c r="B22" s="256"/>
      <c r="C22" s="181"/>
      <c r="D22" s="285"/>
      <c r="E22" s="181"/>
      <c r="F22" s="117"/>
      <c r="G22" s="247"/>
      <c r="H22" s="177"/>
      <c r="I22" s="435">
        <f>F17+F19+F20+F21+F18</f>
        <v>4334</v>
      </c>
      <c r="J22" s="247" t="s">
        <v>15</v>
      </c>
    </row>
    <row r="23" spans="2:10" s="6" customFormat="1" ht="19.5" customHeight="1" thickTop="1">
      <c r="B23" s="256"/>
      <c r="C23" s="181"/>
      <c r="D23" s="285"/>
      <c r="E23" s="181"/>
      <c r="F23" s="117"/>
      <c r="G23" s="247"/>
      <c r="H23" s="177"/>
      <c r="I23" s="226"/>
      <c r="J23" s="247"/>
    </row>
    <row r="24" spans="2:10" s="6" customFormat="1" ht="19.5" customHeight="1">
      <c r="B24" s="256"/>
      <c r="C24" s="181"/>
      <c r="D24" s="285"/>
      <c r="E24" s="181"/>
      <c r="F24" s="117"/>
      <c r="G24" s="247"/>
      <c r="H24" s="177"/>
      <c r="I24" s="226"/>
      <c r="J24" s="247"/>
    </row>
    <row r="25" spans="1:9" ht="24" customHeight="1">
      <c r="A25" s="123" t="s">
        <v>41</v>
      </c>
      <c r="B25" s="103" t="s">
        <v>46</v>
      </c>
      <c r="H25" s="129"/>
      <c r="I25" s="106"/>
    </row>
    <row r="26" spans="2:8" ht="18.75" customHeight="1">
      <c r="B26" s="130" t="s">
        <v>47</v>
      </c>
      <c r="C26" s="131"/>
      <c r="F26" s="131"/>
      <c r="G26" s="131"/>
      <c r="H26" s="129"/>
    </row>
    <row r="27" spans="2:8" ht="18.75" customHeight="1">
      <c r="B27" s="130"/>
      <c r="C27" s="131"/>
      <c r="F27" s="131"/>
      <c r="G27" s="131"/>
      <c r="H27" s="129"/>
    </row>
    <row r="28" spans="2:8" ht="20.25" customHeight="1">
      <c r="B28" s="137"/>
      <c r="C28" s="131"/>
      <c r="F28" s="131"/>
      <c r="G28" s="131"/>
      <c r="H28" s="129"/>
    </row>
    <row r="29" spans="2:8" ht="18.75" customHeight="1">
      <c r="B29" s="137"/>
      <c r="C29" s="131"/>
      <c r="D29" s="132"/>
      <c r="F29" s="137"/>
      <c r="G29" s="131"/>
      <c r="H29" s="129"/>
    </row>
    <row r="30" spans="2:12" ht="23.25" customHeight="1" thickBot="1">
      <c r="B30" s="130"/>
      <c r="C30" s="131"/>
      <c r="F30" s="131"/>
      <c r="G30" s="131"/>
      <c r="H30" s="129"/>
      <c r="I30" s="402">
        <v>0</v>
      </c>
      <c r="J30" s="103" t="s">
        <v>15</v>
      </c>
      <c r="L30" s="311" t="e">
        <f>#REF!+I30</f>
        <v>#REF!</v>
      </c>
    </row>
    <row r="31" spans="2:9" ht="21" customHeight="1" thickTop="1">
      <c r="B31" s="132"/>
      <c r="C31" s="106"/>
      <c r="D31" s="132"/>
      <c r="E31" s="106"/>
      <c r="F31" s="132"/>
      <c r="G31" s="120"/>
      <c r="H31" s="129"/>
      <c r="I31" s="124"/>
    </row>
    <row r="32" spans="2:9" ht="21" customHeight="1">
      <c r="B32" s="132"/>
      <c r="C32" s="429"/>
      <c r="D32" s="132"/>
      <c r="E32" s="429"/>
      <c r="F32" s="132"/>
      <c r="G32" s="120"/>
      <c r="H32" s="129"/>
      <c r="I32" s="120"/>
    </row>
    <row r="33" spans="1:13" ht="26.25" customHeight="1" thickBot="1">
      <c r="A33" s="103" t="s">
        <v>169</v>
      </c>
      <c r="F33" s="133" t="str">
        <f>F5</f>
        <v> 31   พฤษภาคม    2559</v>
      </c>
      <c r="H33" s="129"/>
      <c r="I33" s="427">
        <f>I5+I11-I22-I30</f>
        <v>5789244.39</v>
      </c>
      <c r="J33" s="131" t="s">
        <v>54</v>
      </c>
      <c r="K33" s="103" t="s">
        <v>253</v>
      </c>
      <c r="M33" s="421">
        <v>1970563.69</v>
      </c>
    </row>
    <row r="34" spans="1:10" ht="15" customHeight="1" thickTop="1">
      <c r="A34" s="134"/>
      <c r="B34" s="134"/>
      <c r="C34" s="134"/>
      <c r="D34" s="134"/>
      <c r="E34" s="134"/>
      <c r="F34" s="142"/>
      <c r="G34" s="134"/>
      <c r="H34" s="135"/>
      <c r="I34" s="143"/>
      <c r="J34" s="125"/>
    </row>
    <row r="35" spans="1:13" ht="22.5" customHeight="1">
      <c r="A35" s="103" t="s">
        <v>36</v>
      </c>
      <c r="E35" s="129"/>
      <c r="F35" s="103" t="s">
        <v>48</v>
      </c>
      <c r="M35" s="311">
        <f>M33-I33</f>
        <v>-3818680.6999999997</v>
      </c>
    </row>
    <row r="36" ht="22.5" customHeight="1">
      <c r="E36" s="129"/>
    </row>
    <row r="37" spans="2:9" ht="22.5" customHeight="1">
      <c r="B37" s="612" t="s">
        <v>49</v>
      </c>
      <c r="C37" s="612"/>
      <c r="D37" s="612"/>
      <c r="E37" s="129"/>
      <c r="F37" s="552" t="s">
        <v>55</v>
      </c>
      <c r="G37" s="552"/>
      <c r="H37" s="552"/>
      <c r="I37" s="552"/>
    </row>
    <row r="38" spans="2:9" ht="22.5" customHeight="1">
      <c r="B38" s="552" t="s">
        <v>159</v>
      </c>
      <c r="C38" s="552"/>
      <c r="D38" s="552"/>
      <c r="E38" s="129"/>
      <c r="F38" s="552" t="s">
        <v>240</v>
      </c>
      <c r="G38" s="552"/>
      <c r="H38" s="552"/>
      <c r="I38" s="552"/>
    </row>
    <row r="39" spans="2:9" ht="22.5" customHeight="1">
      <c r="B39" s="552" t="s">
        <v>293</v>
      </c>
      <c r="C39" s="552"/>
      <c r="D39" s="552"/>
      <c r="E39" s="129"/>
      <c r="F39" s="552" t="s">
        <v>301</v>
      </c>
      <c r="G39" s="552"/>
      <c r="H39" s="552"/>
      <c r="I39" s="552"/>
    </row>
    <row r="40" spans="1:6" s="138" customFormat="1" ht="26.25" customHeight="1">
      <c r="A40" s="138" t="s">
        <v>50</v>
      </c>
      <c r="E40" s="139"/>
      <c r="F40" s="138" t="s">
        <v>161</v>
      </c>
    </row>
    <row r="41" s="138" customFormat="1" ht="12" customHeight="1">
      <c r="E41" s="139"/>
    </row>
    <row r="42" spans="1:7" s="138" customFormat="1" ht="24" customHeight="1">
      <c r="A42" s="138" t="s">
        <v>40</v>
      </c>
      <c r="E42" s="139"/>
      <c r="F42" s="138" t="s">
        <v>51</v>
      </c>
      <c r="G42" s="138" t="s">
        <v>155</v>
      </c>
    </row>
    <row r="43" spans="1:10" s="5" customFormat="1" ht="12.75" customHeight="1">
      <c r="A43" s="140"/>
      <c r="B43" s="140"/>
      <c r="C43" s="140"/>
      <c r="D43" s="140"/>
      <c r="E43" s="141"/>
      <c r="F43" s="140"/>
      <c r="G43" s="140"/>
      <c r="H43" s="140"/>
      <c r="I43" s="140"/>
      <c r="J43" s="9"/>
    </row>
    <row r="44" spans="1:11" s="106" customFormat="1" ht="30" customHeight="1">
      <c r="A44" s="106" t="s">
        <v>76</v>
      </c>
      <c r="F44" s="127" t="s">
        <v>485</v>
      </c>
      <c r="H44" s="128"/>
      <c r="I44" s="136">
        <v>15416864.95</v>
      </c>
      <c r="J44" s="122" t="s">
        <v>15</v>
      </c>
      <c r="K44" s="106" t="s">
        <v>252</v>
      </c>
    </row>
    <row r="45" spans="1:8" ht="22.5" customHeight="1">
      <c r="A45" s="123" t="s">
        <v>41</v>
      </c>
      <c r="B45" s="103" t="s">
        <v>42</v>
      </c>
      <c r="H45" s="129"/>
    </row>
    <row r="46" spans="2:8" ht="22.5" customHeight="1">
      <c r="B46" s="130" t="s">
        <v>43</v>
      </c>
      <c r="C46" s="131"/>
      <c r="D46" s="130" t="s">
        <v>52</v>
      </c>
      <c r="E46" s="131"/>
      <c r="F46" s="130" t="s">
        <v>6</v>
      </c>
      <c r="G46" s="130"/>
      <c r="H46" s="129"/>
    </row>
    <row r="47" spans="2:8" ht="19.5" customHeight="1">
      <c r="B47" s="130"/>
      <c r="C47" s="131"/>
      <c r="D47" s="130"/>
      <c r="E47" s="131"/>
      <c r="F47" s="130"/>
      <c r="G47" s="130"/>
      <c r="H47" s="129"/>
    </row>
    <row r="48" spans="2:8" ht="19.5" customHeight="1">
      <c r="B48" s="377"/>
      <c r="C48" s="131"/>
      <c r="D48" s="377"/>
      <c r="E48" s="131"/>
      <c r="F48" s="377"/>
      <c r="G48" s="130"/>
      <c r="H48" s="129"/>
    </row>
    <row r="49" spans="2:13" ht="19.5" customHeight="1">
      <c r="B49" s="130"/>
      <c r="C49" s="131"/>
      <c r="D49" s="130"/>
      <c r="E49" s="131"/>
      <c r="F49" s="130"/>
      <c r="G49" s="130"/>
      <c r="H49" s="129"/>
      <c r="M49" s="401">
        <f>SUM(F53:F56)</f>
        <v>3464.3329999999996</v>
      </c>
    </row>
    <row r="50" spans="2:9" ht="22.5" customHeight="1" thickBot="1">
      <c r="B50" s="137"/>
      <c r="C50" s="122"/>
      <c r="D50" s="137"/>
      <c r="E50" s="131"/>
      <c r="F50" s="363"/>
      <c r="G50" s="131"/>
      <c r="H50" s="100"/>
      <c r="I50" s="427">
        <v>0</v>
      </c>
    </row>
    <row r="51" spans="1:8" ht="21" customHeight="1" thickTop="1">
      <c r="A51" s="123" t="s">
        <v>45</v>
      </c>
      <c r="B51" s="103" t="s">
        <v>53</v>
      </c>
      <c r="H51" s="129"/>
    </row>
    <row r="52" spans="2:8" s="6" customFormat="1" ht="21" customHeight="1">
      <c r="B52" s="370" t="s">
        <v>0</v>
      </c>
      <c r="C52" s="7"/>
      <c r="D52" s="370" t="s">
        <v>44</v>
      </c>
      <c r="E52" s="7"/>
      <c r="F52" s="370" t="s">
        <v>6</v>
      </c>
      <c r="G52" s="370"/>
      <c r="H52" s="177"/>
    </row>
    <row r="53" spans="2:10" s="6" customFormat="1" ht="21" customHeight="1">
      <c r="B53" s="459" t="s">
        <v>497</v>
      </c>
      <c r="C53" s="181"/>
      <c r="D53" s="371" t="s">
        <v>498</v>
      </c>
      <c r="E53" s="181"/>
      <c r="F53" s="117">
        <v>974.153</v>
      </c>
      <c r="G53" s="7" t="s">
        <v>15</v>
      </c>
      <c r="H53" s="177"/>
      <c r="I53" s="372"/>
      <c r="J53" s="7"/>
    </row>
    <row r="54" spans="2:10" s="6" customFormat="1" ht="21" customHeight="1">
      <c r="B54" s="459" t="s">
        <v>497</v>
      </c>
      <c r="C54" s="181"/>
      <c r="D54" s="371" t="s">
        <v>499</v>
      </c>
      <c r="E54" s="181"/>
      <c r="F54" s="525">
        <v>744.5</v>
      </c>
      <c r="G54" s="7" t="s">
        <v>15</v>
      </c>
      <c r="H54" s="177"/>
      <c r="I54" s="372"/>
      <c r="J54" s="7"/>
    </row>
    <row r="55" spans="2:10" s="6" customFormat="1" ht="24" customHeight="1">
      <c r="B55" s="459" t="s">
        <v>497</v>
      </c>
      <c r="C55" s="181"/>
      <c r="D55" s="371" t="s">
        <v>500</v>
      </c>
      <c r="E55" s="181"/>
      <c r="F55" s="117">
        <v>556.9</v>
      </c>
      <c r="G55" s="7" t="s">
        <v>15</v>
      </c>
      <c r="H55" s="177"/>
      <c r="I55" s="372"/>
      <c r="J55" s="7"/>
    </row>
    <row r="56" spans="2:10" s="6" customFormat="1" ht="24" customHeight="1">
      <c r="B56" s="459" t="s">
        <v>501</v>
      </c>
      <c r="C56" s="181"/>
      <c r="D56" s="371" t="s">
        <v>502</v>
      </c>
      <c r="E56" s="181"/>
      <c r="F56" s="117">
        <v>1188.78</v>
      </c>
      <c r="G56" s="7" t="s">
        <v>15</v>
      </c>
      <c r="H56" s="177"/>
      <c r="I56" s="372"/>
      <c r="J56" s="7"/>
    </row>
    <row r="57" spans="2:12" s="6" customFormat="1" ht="21" customHeight="1" thickBot="1">
      <c r="B57" s="459"/>
      <c r="C57" s="181"/>
      <c r="D57" s="371"/>
      <c r="E57" s="181"/>
      <c r="F57" s="117"/>
      <c r="G57" s="7"/>
      <c r="H57" s="177"/>
      <c r="I57" s="455">
        <f>SUM(F53:F56)</f>
        <v>3464.3329999999996</v>
      </c>
      <c r="J57" s="7"/>
      <c r="K57" s="199"/>
      <c r="L57" s="199">
        <f>SUM(F53:F56)</f>
        <v>3464.3329999999996</v>
      </c>
    </row>
    <row r="58" spans="1:9" ht="21" customHeight="1" thickTop="1">
      <c r="A58" s="123" t="s">
        <v>41</v>
      </c>
      <c r="B58" s="103" t="s">
        <v>46</v>
      </c>
      <c r="H58" s="129"/>
      <c r="I58" s="311"/>
    </row>
    <row r="59" spans="2:8" ht="21" customHeight="1">
      <c r="B59" s="130" t="s">
        <v>43</v>
      </c>
      <c r="C59" s="131"/>
      <c r="D59" s="130" t="s">
        <v>52</v>
      </c>
      <c r="E59" s="131"/>
      <c r="F59" s="130" t="s">
        <v>6</v>
      </c>
      <c r="G59" s="131"/>
      <c r="H59" s="129"/>
    </row>
    <row r="60" spans="1:9" ht="20.25" customHeight="1">
      <c r="A60" s="407" t="s">
        <v>397</v>
      </c>
      <c r="C60" s="407"/>
      <c r="D60" s="116" t="s">
        <v>450</v>
      </c>
      <c r="F60" s="456">
        <v>16442.64</v>
      </c>
      <c r="G60" s="7" t="s">
        <v>15</v>
      </c>
      <c r="H60" s="129"/>
      <c r="I60" s="401"/>
    </row>
    <row r="61" spans="2:9" ht="20.25" customHeight="1">
      <c r="B61" s="132"/>
      <c r="C61" s="407"/>
      <c r="D61" s="116" t="s">
        <v>477</v>
      </c>
      <c r="F61" s="120">
        <v>288389</v>
      </c>
      <c r="G61" s="7" t="s">
        <v>15</v>
      </c>
      <c r="H61" s="129"/>
      <c r="I61" s="401"/>
    </row>
    <row r="62" spans="2:9" ht="20.25" customHeight="1">
      <c r="B62" s="132"/>
      <c r="C62" s="407"/>
      <c r="D62" s="116" t="s">
        <v>478</v>
      </c>
      <c r="F62" s="456">
        <v>662000</v>
      </c>
      <c r="G62" s="7" t="s">
        <v>15</v>
      </c>
      <c r="H62" s="129"/>
      <c r="I62" s="401"/>
    </row>
    <row r="63" spans="1:13" ht="20.25" customHeight="1">
      <c r="A63" s="106"/>
      <c r="B63" s="137"/>
      <c r="C63" s="407"/>
      <c r="D63" s="116" t="s">
        <v>497</v>
      </c>
      <c r="E63" s="122"/>
      <c r="F63" s="505">
        <v>138061</v>
      </c>
      <c r="G63" s="7" t="s">
        <v>15</v>
      </c>
      <c r="H63" s="129"/>
      <c r="I63" s="527"/>
      <c r="M63" s="120"/>
    </row>
    <row r="64" spans="1:13" ht="20.25" customHeight="1">
      <c r="A64" s="106"/>
      <c r="B64" s="137"/>
      <c r="C64" s="407"/>
      <c r="D64" s="116" t="s">
        <v>504</v>
      </c>
      <c r="E64" s="122"/>
      <c r="F64" s="505">
        <v>858687.63</v>
      </c>
      <c r="G64" s="7" t="s">
        <v>15</v>
      </c>
      <c r="H64" s="129"/>
      <c r="I64" s="527"/>
      <c r="M64" s="120"/>
    </row>
    <row r="65" spans="1:13" ht="20.25" customHeight="1">
      <c r="A65" s="106"/>
      <c r="B65" s="137"/>
      <c r="C65" s="407"/>
      <c r="D65" s="116" t="s">
        <v>503</v>
      </c>
      <c r="E65" s="122"/>
      <c r="F65" s="505">
        <v>262820.76</v>
      </c>
      <c r="G65" s="7" t="s">
        <v>15</v>
      </c>
      <c r="H65" s="129"/>
      <c r="I65" s="526">
        <f>SUM(F60:F65)</f>
        <v>2226401.0300000003</v>
      </c>
      <c r="M65" s="120"/>
    </row>
    <row r="66" spans="1:13" ht="22.5" customHeight="1" thickBot="1">
      <c r="A66" s="103" t="s">
        <v>75</v>
      </c>
      <c r="F66" s="127" t="s">
        <v>485</v>
      </c>
      <c r="H66" s="129"/>
      <c r="I66" s="402">
        <f>I44+I50-I57-I65</f>
        <v>13186999.586999997</v>
      </c>
      <c r="J66" s="131" t="s">
        <v>54</v>
      </c>
      <c r="K66" s="103" t="s">
        <v>253</v>
      </c>
      <c r="M66" s="120"/>
    </row>
    <row r="67" spans="1:13" ht="22.5" customHeight="1" thickTop="1">
      <c r="A67" s="134" t="s">
        <v>7</v>
      </c>
      <c r="B67" s="134"/>
      <c r="C67" s="134"/>
      <c r="D67" s="134"/>
      <c r="E67" s="134"/>
      <c r="F67" s="134"/>
      <c r="G67" s="134"/>
      <c r="H67" s="135"/>
      <c r="I67" s="134"/>
      <c r="J67" s="134"/>
      <c r="M67" s="311">
        <v>13186999.59</v>
      </c>
    </row>
    <row r="68" spans="1:6" ht="22.5" customHeight="1">
      <c r="A68" s="103" t="s">
        <v>36</v>
      </c>
      <c r="E68" s="128"/>
      <c r="F68" s="103" t="s">
        <v>48</v>
      </c>
    </row>
    <row r="69" spans="2:13" ht="22.5" customHeight="1">
      <c r="B69" s="612" t="s">
        <v>49</v>
      </c>
      <c r="C69" s="612"/>
      <c r="D69" s="612"/>
      <c r="E69" s="129"/>
      <c r="F69" s="552" t="s">
        <v>55</v>
      </c>
      <c r="G69" s="552"/>
      <c r="H69" s="552"/>
      <c r="I69" s="552"/>
      <c r="M69" s="311">
        <f>M67-I66</f>
        <v>0.0030000023543834686</v>
      </c>
    </row>
    <row r="70" spans="2:9" ht="22.5" customHeight="1">
      <c r="B70" s="552" t="s">
        <v>159</v>
      </c>
      <c r="C70" s="552"/>
      <c r="D70" s="552"/>
      <c r="E70" s="129"/>
      <c r="F70" s="552" t="s">
        <v>240</v>
      </c>
      <c r="G70" s="552"/>
      <c r="H70" s="552"/>
      <c r="I70" s="552"/>
    </row>
    <row r="71" spans="2:9" ht="22.5" customHeight="1">
      <c r="B71" s="552" t="s">
        <v>293</v>
      </c>
      <c r="C71" s="552"/>
      <c r="D71" s="552"/>
      <c r="E71" s="129"/>
      <c r="F71" s="552" t="s">
        <v>301</v>
      </c>
      <c r="G71" s="552"/>
      <c r="H71" s="552"/>
      <c r="I71" s="552"/>
    </row>
    <row r="72" spans="2:5" ht="22.5" customHeight="1">
      <c r="B72" s="131"/>
      <c r="C72" s="131"/>
      <c r="D72" s="122"/>
      <c r="E72" s="106"/>
    </row>
    <row r="73" spans="2:9" ht="21.75">
      <c r="B73" s="131"/>
      <c r="C73" s="131"/>
      <c r="D73" s="131"/>
      <c r="E73" s="131"/>
      <c r="F73" s="131"/>
      <c r="G73" s="131"/>
      <c r="H73" s="131"/>
      <c r="I73" s="131"/>
    </row>
  </sheetData>
  <sheetProtection/>
  <mergeCells count="12">
    <mergeCell ref="B37:D37"/>
    <mergeCell ref="B38:D38"/>
    <mergeCell ref="F37:I37"/>
    <mergeCell ref="F38:I38"/>
    <mergeCell ref="F39:I39"/>
    <mergeCell ref="B70:D70"/>
    <mergeCell ref="B71:D71"/>
    <mergeCell ref="F70:I70"/>
    <mergeCell ref="B39:D39"/>
    <mergeCell ref="B69:D69"/>
    <mergeCell ref="F69:I69"/>
    <mergeCell ref="F71:I71"/>
  </mergeCells>
  <printOptions/>
  <pageMargins left="0.76" right="0.27" top="0.3" bottom="0.26" header="0.16" footer="0.15"/>
  <pageSetup horizontalDpi="180" verticalDpi="18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72"/>
  <sheetViews>
    <sheetView zoomScalePageLayoutView="0" workbookViewId="0" topLeftCell="A25">
      <selection activeCell="D32" sqref="D32"/>
    </sheetView>
  </sheetViews>
  <sheetFormatPr defaultColWidth="9.140625" defaultRowHeight="21.75"/>
  <cols>
    <col min="1" max="1" width="5.57421875" style="6" customWidth="1"/>
    <col min="2" max="3" width="9.140625" style="6" customWidth="1"/>
    <col min="4" max="4" width="32.421875" style="6" customWidth="1"/>
    <col min="5" max="5" width="14.421875" style="173" customWidth="1"/>
    <col min="6" max="6" width="11.57421875" style="173" customWidth="1"/>
    <col min="7" max="7" width="17.7109375" style="173" customWidth="1"/>
    <col min="8" max="8" width="12.57421875" style="173" customWidth="1"/>
    <col min="9" max="9" width="12.7109375" style="208" bestFit="1" customWidth="1"/>
    <col min="10" max="10" width="13.00390625" style="6" customWidth="1"/>
    <col min="11" max="11" width="9.8515625" style="6" bestFit="1" customWidth="1"/>
    <col min="12" max="16384" width="9.140625" style="6" customWidth="1"/>
  </cols>
  <sheetData>
    <row r="1" spans="1:9" s="123" customFormat="1" ht="20.25" customHeight="1">
      <c r="A1" s="614" t="s">
        <v>77</v>
      </c>
      <c r="B1" s="614"/>
      <c r="C1" s="614"/>
      <c r="D1" s="614"/>
      <c r="E1" s="614"/>
      <c r="F1" s="614"/>
      <c r="G1" s="614"/>
      <c r="H1" s="253"/>
      <c r="I1" s="225"/>
    </row>
    <row r="2" spans="1:9" s="123" customFormat="1" ht="20.25" customHeight="1">
      <c r="A2" s="614" t="s">
        <v>118</v>
      </c>
      <c r="B2" s="614"/>
      <c r="C2" s="614"/>
      <c r="D2" s="614"/>
      <c r="E2" s="614"/>
      <c r="F2" s="614"/>
      <c r="G2" s="614"/>
      <c r="H2" s="253"/>
      <c r="I2" s="225"/>
    </row>
    <row r="3" spans="1:14" s="123" customFormat="1" ht="20.25" customHeight="1">
      <c r="A3" s="615" t="s">
        <v>483</v>
      </c>
      <c r="B3" s="614"/>
      <c r="C3" s="614"/>
      <c r="D3" s="614"/>
      <c r="E3" s="614"/>
      <c r="F3" s="614"/>
      <c r="G3" s="614"/>
      <c r="H3" s="253"/>
      <c r="I3" s="204" t="s">
        <v>268</v>
      </c>
      <c r="J3" s="6"/>
      <c r="K3" s="6"/>
      <c r="L3" s="6"/>
      <c r="M3" s="6"/>
      <c r="N3" s="6"/>
    </row>
    <row r="4" ht="20.25" customHeight="1"/>
    <row r="5" spans="1:9" s="175" customFormat="1" ht="20.25" customHeight="1">
      <c r="A5" s="175" t="s">
        <v>119</v>
      </c>
      <c r="E5" s="209" t="s">
        <v>11</v>
      </c>
      <c r="F5" s="209"/>
      <c r="G5" s="209" t="s">
        <v>120</v>
      </c>
      <c r="H5" s="209"/>
      <c r="I5" s="210"/>
    </row>
    <row r="6" spans="2:9" ht="20.25" customHeight="1">
      <c r="B6" s="6" t="s">
        <v>178</v>
      </c>
      <c r="E6" s="173">
        <f>'รับ-จ่ายเงินสด   '!H11+'รับ-จ่ายเงินสด   '!H12+'รับ-จ่ายเงินสด   '!H13+'รับ-จ่ายเงินสด   '!H14</f>
        <v>112334.70999999999</v>
      </c>
      <c r="G6" s="173">
        <f>'รับ-จ่ายเงินสด   '!D11+'รับ-จ่ายเงินสด   '!D12+'รับ-จ่ายเงินสด   '!D13+'รับ-จ่ายเงินสด   '!D14</f>
        <v>1506740.58</v>
      </c>
      <c r="H6" s="173">
        <f>G6+G7</f>
        <v>16567198.06</v>
      </c>
      <c r="I6" s="204">
        <f>E6+E7</f>
        <v>3127677.44</v>
      </c>
    </row>
    <row r="7" spans="2:9" ht="20.25" customHeight="1">
      <c r="B7" s="6" t="s">
        <v>179</v>
      </c>
      <c r="E7" s="353">
        <f>'รับ-จ่ายเงินสด   '!H15</f>
        <v>3015342.73</v>
      </c>
      <c r="G7" s="173">
        <f>'รับ-จ่ายเงินสด   '!D15</f>
        <v>15060457.48</v>
      </c>
      <c r="I7" s="204"/>
    </row>
    <row r="8" spans="2:9" ht="20.25" customHeight="1">
      <c r="B8" s="6" t="s">
        <v>121</v>
      </c>
      <c r="E8" s="353">
        <f>'รับ-จ่ายเงินสด   '!H16</f>
        <v>0</v>
      </c>
      <c r="G8" s="173">
        <f>'รับ-จ่ายเงินสด   '!D16</f>
        <v>5962147</v>
      </c>
      <c r="I8" s="204"/>
    </row>
    <row r="9" spans="2:9" ht="20.25" customHeight="1">
      <c r="B9" s="6" t="s">
        <v>308</v>
      </c>
      <c r="E9" s="353">
        <f>'รับ-จ่ายเงินสด   '!H17+'รับ-จ่ายเงินสด   '!H18+'รับ-จ่ายเงินสด   '!H19+'รับ-จ่ายเงินสด   '!H20+'รับ-จ่ายเงินสด   '!H21</f>
        <v>888600</v>
      </c>
      <c r="G9" s="173">
        <f>'รับ-จ่ายเงินสด   '!D17+'รับ-จ่ายเงินสด   '!D18+'รับ-จ่ายเงินสด   '!D19+'รับ-จ่ายเงินสด   '!D20+'รับ-จ่ายเงินสด   '!D21+'รับ-จ่ายเงินสด   '!D22+'รับ-จ่ายเงินสด   '!D23</f>
        <v>9879805</v>
      </c>
      <c r="I9" s="204"/>
    </row>
    <row r="10" spans="2:11" ht="20.25" customHeight="1">
      <c r="B10" s="6" t="s">
        <v>262</v>
      </c>
      <c r="E10" s="353">
        <f>'รับ-จ่ายเงินสด   '!H25</f>
        <v>32101.649999999998</v>
      </c>
      <c r="G10" s="520">
        <f>'รับ-จ่ายเงินสด   '!D25</f>
        <v>1574444.25</v>
      </c>
      <c r="I10" s="204">
        <v>0</v>
      </c>
      <c r="J10" s="173"/>
      <c r="K10" s="173"/>
    </row>
    <row r="11" spans="2:9" ht="20.25" customHeight="1">
      <c r="B11" s="6" t="s">
        <v>33</v>
      </c>
      <c r="E11" s="173">
        <f>'รับ-จ่ายเงินสด   '!H24</f>
        <v>0</v>
      </c>
      <c r="G11" s="520">
        <f>'รับ-จ่ายเงินสด   '!D24</f>
        <v>288109.24</v>
      </c>
      <c r="I11" s="204"/>
    </row>
    <row r="12" spans="2:9" ht="20.25" customHeight="1">
      <c r="B12" s="6" t="s">
        <v>236</v>
      </c>
      <c r="E12" s="173">
        <f>'รับ-จ่ายเงินสด   '!H27</f>
        <v>0</v>
      </c>
      <c r="G12" s="520">
        <f>'รับ-จ่ายเงินสด   '!D27</f>
        <v>26805</v>
      </c>
      <c r="I12" s="204"/>
    </row>
    <row r="13" spans="2:9" ht="20.25" customHeight="1">
      <c r="B13" s="6" t="s">
        <v>239</v>
      </c>
      <c r="E13" s="173">
        <f>'รับ-จ่ายเงินสด   '!H26</f>
        <v>783.2</v>
      </c>
      <c r="G13" s="520">
        <f>'รับ-จ่ายเงินสด   '!D26</f>
        <v>17781.31</v>
      </c>
      <c r="I13" s="204"/>
    </row>
    <row r="14" spans="2:9" ht="20.25" customHeight="1">
      <c r="B14" s="6" t="s">
        <v>238</v>
      </c>
      <c r="E14" s="173">
        <f>'รับ-จ่ายเงินสด   '!H28</f>
        <v>0</v>
      </c>
      <c r="G14" s="520">
        <f>'รับ-จ่ายเงินสด   '!D28</f>
        <v>1600</v>
      </c>
      <c r="I14" s="204"/>
    </row>
    <row r="15" spans="2:9" ht="20.25" customHeight="1">
      <c r="B15" s="6" t="s">
        <v>306</v>
      </c>
      <c r="E15" s="173">
        <f>'รับ-จ่ายเงินสด   '!H32</f>
        <v>705400</v>
      </c>
      <c r="G15" s="520">
        <f>'รับ-จ่ายเงินสด   '!D32</f>
        <v>5047505</v>
      </c>
      <c r="I15" s="204"/>
    </row>
    <row r="16" spans="2:9" ht="20.25" customHeight="1">
      <c r="B16" s="6" t="s">
        <v>362</v>
      </c>
      <c r="E16" s="173">
        <f>'รับ-จ่ายเงินสด   '!H34</f>
        <v>373400</v>
      </c>
      <c r="G16" s="520">
        <f>'รับ-จ่ายเงินสด   '!D34</f>
        <v>378020</v>
      </c>
      <c r="I16" s="204"/>
    </row>
    <row r="17" spans="2:9" ht="20.25" customHeight="1">
      <c r="B17" s="6" t="s">
        <v>470</v>
      </c>
      <c r="E17" s="173">
        <f>'รับ-จ่ายเงินสด   '!H33</f>
        <v>714200</v>
      </c>
      <c r="G17" s="520">
        <f>'รับ-จ่ายเงินสด   '!D33</f>
        <v>2156760</v>
      </c>
      <c r="I17" s="204"/>
    </row>
    <row r="18" spans="2:9" ht="20.25" customHeight="1">
      <c r="B18" s="6" t="s">
        <v>466</v>
      </c>
      <c r="E18" s="173">
        <f>'รับ-จ่ายเงินสด   '!H29</f>
        <v>5004</v>
      </c>
      <c r="G18" s="173">
        <f>'รับ-จ่ายเงินสด   '!D29</f>
        <v>102032</v>
      </c>
      <c r="I18" s="204"/>
    </row>
    <row r="19" spans="2:9" ht="20.25" customHeight="1">
      <c r="B19" s="6" t="s">
        <v>444</v>
      </c>
      <c r="E19" s="173">
        <v>0</v>
      </c>
      <c r="G19" s="173">
        <f>'รับ-จ่ายเงินสด   '!D30</f>
        <v>545</v>
      </c>
      <c r="I19" s="204"/>
    </row>
    <row r="20" spans="2:9" ht="20.25" customHeight="1">
      <c r="B20" s="6" t="s">
        <v>467</v>
      </c>
      <c r="G20" s="173">
        <f>'รับ-จ่ายเงินสด   '!D31</f>
        <v>10900</v>
      </c>
      <c r="I20" s="204"/>
    </row>
    <row r="21" spans="2:9" ht="20.25" customHeight="1">
      <c r="B21" s="6" t="s">
        <v>468</v>
      </c>
      <c r="G21" s="520">
        <f>'รับ-จ่ายเงินสด   '!D35</f>
        <v>11445</v>
      </c>
      <c r="I21" s="204"/>
    </row>
    <row r="22" spans="2:10" ht="20.25" customHeight="1" thickBot="1">
      <c r="B22" s="613" t="s">
        <v>74</v>
      </c>
      <c r="C22" s="613"/>
      <c r="E22" s="211">
        <f>SUM(E6:E20)</f>
        <v>5847166.29</v>
      </c>
      <c r="G22" s="211">
        <f>SUM(G6:G21)</f>
        <v>42025096.86000001</v>
      </c>
      <c r="H22" s="214">
        <f>SUM(H6:H15)</f>
        <v>16567198.06</v>
      </c>
      <c r="I22" s="204"/>
      <c r="J22" s="173">
        <v>42025096.86</v>
      </c>
    </row>
    <row r="23" spans="1:8" ht="20.25" customHeight="1" thickTop="1">
      <c r="A23" s="175" t="s">
        <v>25</v>
      </c>
      <c r="G23" s="173" t="s">
        <v>7</v>
      </c>
      <c r="H23" s="378"/>
    </row>
    <row r="24" spans="2:10" ht="20.25" customHeight="1">
      <c r="B24" s="6" t="s">
        <v>263</v>
      </c>
      <c r="E24" s="173">
        <f>'รับ-จ่ายเงินสด   '!H43+'รับ-จ่ายเงินสด   '!H44+'รับ-จ่ายเงินสด   '!H45+'รับ-จ่ายเงินสด   '!H46+'รับ-จ่ายเงินสด   '!H47+'รับ-จ่ายเงินสด   '!H48+'รับ-จ่ายเงินสด   '!H49+'รับ-จ่ายเงินสด   '!H50</f>
        <v>1553656.76</v>
      </c>
      <c r="G24" s="173">
        <f>'รับ-จ่ายเงินสด   '!D43+'รับ-จ่ายเงินสด   '!D44+'รับ-จ่ายเงินสด   '!D45+'รับ-จ่ายเงินสด   '!D46+'รับ-จ่ายเงินสด   '!D47+'รับ-จ่ายเงินสด   '!D48+'รับ-จ่ายเงินสด   '!D49+'รับ-จ่ายเงินสด   '!D50+'รับ-จ่ายเงินสด   '!D51+'รับ-จ่ายเงินสด   '!D52+'รับ-จ่ายเงินสด   '!D53</f>
        <v>11057262.39</v>
      </c>
      <c r="I24" s="204"/>
      <c r="J24" s="309">
        <f>J22-G22</f>
        <v>0</v>
      </c>
    </row>
    <row r="25" spans="2:9" ht="20.25" customHeight="1">
      <c r="B25" s="6" t="s">
        <v>342</v>
      </c>
      <c r="D25" s="354"/>
      <c r="E25" s="353">
        <f>'รับ-จ่ายเงินสด   '!H59+'รับ-จ่ายเงินสด   '!H60+'รับ-จ่ายเงินสด   '!H61+'รับ-จ่ายเงินสด   '!H62</f>
        <v>1052420</v>
      </c>
      <c r="F25" s="353"/>
      <c r="G25" s="353">
        <f>'รับ-จ่ายเงินสด   '!D59+'รับ-จ่ายเงินสด   '!D60+'รับ-จ่ายเงินสด   '!D61+'รับ-จ่ายเงินสด   '!D62</f>
        <v>9636375</v>
      </c>
      <c r="I25" s="305"/>
    </row>
    <row r="26" spans="2:9" ht="20.25" customHeight="1">
      <c r="B26" s="6" t="s">
        <v>122</v>
      </c>
      <c r="D26" s="354"/>
      <c r="E26" s="353">
        <f>'หมายเหตุ2  '!E17:F17</f>
        <v>96489.6</v>
      </c>
      <c r="F26" s="353"/>
      <c r="G26" s="353">
        <f>'รับ-จ่ายเงินสด   '!D58</f>
        <v>2083597.54</v>
      </c>
      <c r="I26" s="204"/>
    </row>
    <row r="27" spans="2:9" ht="20.25" customHeight="1">
      <c r="B27" s="6" t="s">
        <v>123</v>
      </c>
      <c r="D27" s="354"/>
      <c r="E27" s="353">
        <f>'รับ-จ่ายเงินสด   '!H54</f>
        <v>938000</v>
      </c>
      <c r="F27" s="353"/>
      <c r="G27" s="353">
        <f>'รับ-จ่ายเงินสด   '!D54</f>
        <v>8837722.690000001</v>
      </c>
      <c r="I27" s="204"/>
    </row>
    <row r="28" spans="2:9" ht="20.25" customHeight="1">
      <c r="B28" s="6" t="s">
        <v>269</v>
      </c>
      <c r="D28" s="354"/>
      <c r="E28" s="353">
        <f>'รับ-จ่ายเงินสด   '!H55</f>
        <v>714200</v>
      </c>
      <c r="F28" s="353"/>
      <c r="G28" s="353">
        <f>'รับ-จ่ายเงินสด   '!D55</f>
        <v>5056305</v>
      </c>
      <c r="I28" s="204"/>
    </row>
    <row r="29" spans="2:9" ht="20.25" customHeight="1">
      <c r="B29" s="6" t="s">
        <v>296</v>
      </c>
      <c r="D29" s="354"/>
      <c r="E29" s="353">
        <f>'รับ-จ่ายเงินสด   '!H56</f>
        <v>238200</v>
      </c>
      <c r="F29" s="353"/>
      <c r="G29" s="353">
        <f>'รับ-จ่ายเงินสด   '!D56</f>
        <v>378020</v>
      </c>
      <c r="I29" s="204"/>
    </row>
    <row r="30" spans="2:9" ht="20.25" customHeight="1">
      <c r="B30" s="6" t="s">
        <v>124</v>
      </c>
      <c r="D30" s="354"/>
      <c r="E30" s="353">
        <f>'รับ-จ่ายเงินสด   '!H57</f>
        <v>0</v>
      </c>
      <c r="F30" s="353"/>
      <c r="G30" s="353">
        <f>'รับ-จ่ายเงินสด   '!D57</f>
        <v>4800600.99</v>
      </c>
      <c r="I30" s="204"/>
    </row>
    <row r="31" spans="2:9" ht="24" customHeight="1">
      <c r="B31" s="6" t="s">
        <v>239</v>
      </c>
      <c r="D31" s="354"/>
      <c r="E31" s="353">
        <v>0</v>
      </c>
      <c r="F31" s="353"/>
      <c r="G31" s="353"/>
      <c r="I31" s="204"/>
    </row>
    <row r="32" spans="2:9" ht="20.25" customHeight="1">
      <c r="B32" s="6" t="s">
        <v>469</v>
      </c>
      <c r="D32" s="354"/>
      <c r="E32" s="353">
        <v>0</v>
      </c>
      <c r="F32" s="353"/>
      <c r="G32" s="353">
        <f>'รับ-จ่ายเงินสด   '!D66</f>
        <v>53020</v>
      </c>
      <c r="I32" s="204"/>
    </row>
    <row r="33" spans="2:9" ht="20.25" customHeight="1">
      <c r="B33" s="6" t="s">
        <v>470</v>
      </c>
      <c r="D33" s="354"/>
      <c r="E33" s="353">
        <f>'รับ-จ่ายเงินสด   '!H63</f>
        <v>705400</v>
      </c>
      <c r="F33" s="353"/>
      <c r="G33" s="353">
        <f>'รับ-จ่ายเงินสด   '!D63</f>
        <v>2147960</v>
      </c>
      <c r="I33" s="204"/>
    </row>
    <row r="34" spans="2:9" ht="20.25" customHeight="1">
      <c r="B34" s="6" t="s">
        <v>471</v>
      </c>
      <c r="D34" s="354"/>
      <c r="E34" s="353"/>
      <c r="F34" s="353"/>
      <c r="G34" s="353">
        <f>'รับ-จ่ายเงินสด   '!D64+'รับ-จ่ายเงินสด   '!D65</f>
        <v>11445</v>
      </c>
      <c r="I34" s="204"/>
    </row>
    <row r="35" spans="2:9" ht="20.25" customHeight="1" thickBot="1">
      <c r="B35" s="613" t="s">
        <v>74</v>
      </c>
      <c r="C35" s="613"/>
      <c r="E35" s="211">
        <f>SUM(E24:E33)</f>
        <v>5298366.359999999</v>
      </c>
      <c r="G35" s="211">
        <f>SUM(G24:G34)</f>
        <v>44062308.61000001</v>
      </c>
      <c r="H35" s="214"/>
      <c r="I35" s="212"/>
    </row>
    <row r="36" spans="2:14" s="208" customFormat="1" ht="26.25" customHeight="1" thickTop="1">
      <c r="B36" s="213" t="s">
        <v>505</v>
      </c>
      <c r="C36" s="213"/>
      <c r="D36" s="213"/>
      <c r="E36" s="185">
        <f>E22-E35</f>
        <v>548799.9300000006</v>
      </c>
      <c r="F36" s="185"/>
      <c r="G36" s="173"/>
      <c r="H36" s="173"/>
      <c r="I36" s="185"/>
      <c r="J36" s="182"/>
      <c r="K36" s="182"/>
      <c r="L36" s="182"/>
      <c r="M36" s="182"/>
      <c r="N36" s="182"/>
    </row>
    <row r="37" ht="21">
      <c r="F37" s="214"/>
    </row>
    <row r="57" spans="2:9" ht="20.25" customHeight="1">
      <c r="B57" s="6" t="s">
        <v>123</v>
      </c>
      <c r="D57" s="354"/>
      <c r="E57" s="353"/>
      <c r="F57" s="353"/>
      <c r="G57" s="353">
        <v>0</v>
      </c>
      <c r="I57" s="204"/>
    </row>
    <row r="58" spans="2:9" ht="20.25" customHeight="1">
      <c r="B58" s="6" t="s">
        <v>314</v>
      </c>
      <c r="D58" s="354"/>
      <c r="E58" s="353" t="e">
        <f>'รับ-จ่ายเงินสด   '!#REF!</f>
        <v>#REF!</v>
      </c>
      <c r="F58" s="353"/>
      <c r="G58" s="353" t="e">
        <f>'รับ-จ่ายเงินสด   '!#REF!</f>
        <v>#REF!</v>
      </c>
      <c r="I58" s="204"/>
    </row>
    <row r="60" spans="2:9" ht="17.25" customHeight="1">
      <c r="B60" s="6" t="s">
        <v>265</v>
      </c>
      <c r="E60" s="353" t="e">
        <f>'รับ-จ่ายเงินสด   '!#REF!</f>
        <v>#REF!</v>
      </c>
      <c r="G60" s="173" t="e">
        <f>'รับ-จ่ายเงินสด   '!#REF!</f>
        <v>#REF!</v>
      </c>
      <c r="I60" s="305"/>
    </row>
    <row r="61" spans="2:9" ht="17.25" customHeight="1">
      <c r="B61" s="6" t="s">
        <v>266</v>
      </c>
      <c r="E61" s="353" t="e">
        <f>'รับ-จ่ายเงินสด   '!#REF!</f>
        <v>#REF!</v>
      </c>
      <c r="G61" s="173" t="e">
        <f>'รับ-จ่ายเงินสด   '!#REF!</f>
        <v>#REF!</v>
      </c>
      <c r="I61" s="305"/>
    </row>
    <row r="62" spans="2:9" ht="17.25" customHeight="1">
      <c r="B62" s="6" t="s">
        <v>272</v>
      </c>
      <c r="E62" s="353" t="e">
        <f>'รับ-จ่ายเงินสด   '!#REF!</f>
        <v>#REF!</v>
      </c>
      <c r="G62" s="173" t="e">
        <f>'รับ-จ่ายเงินสด   '!#REF!</f>
        <v>#REF!</v>
      </c>
      <c r="I62" s="305"/>
    </row>
    <row r="63" spans="2:9" ht="17.25" customHeight="1">
      <c r="B63" s="6" t="s">
        <v>273</v>
      </c>
      <c r="E63" s="353" t="e">
        <f>'รับ-จ่ายเงินสด   '!#REF!</f>
        <v>#REF!</v>
      </c>
      <c r="G63" s="173" t="e">
        <f>'รับ-จ่ายเงินสด   '!#REF!</f>
        <v>#REF!</v>
      </c>
      <c r="I63" s="305"/>
    </row>
    <row r="64" spans="2:9" ht="17.25" customHeight="1">
      <c r="B64" s="6" t="s">
        <v>307</v>
      </c>
      <c r="D64" s="6" t="s">
        <v>304</v>
      </c>
      <c r="E64" s="353">
        <f>'หมายเหตุ1 '!F145</f>
        <v>0</v>
      </c>
      <c r="G64" s="173">
        <f>'หมายเหตุ1 '!G145</f>
        <v>0</v>
      </c>
      <c r="I64" s="305"/>
    </row>
    <row r="65" spans="2:9" ht="17.25" customHeight="1">
      <c r="B65" s="6" t="s">
        <v>307</v>
      </c>
      <c r="D65" s="6" t="s">
        <v>313</v>
      </c>
      <c r="E65" s="353" t="e">
        <f>'รับ-จ่ายเงินสด   '!#REF!</f>
        <v>#REF!</v>
      </c>
      <c r="G65" s="173" t="e">
        <f>'รับ-จ่ายเงินสด   '!#REF!</f>
        <v>#REF!</v>
      </c>
      <c r="I65" s="305"/>
    </row>
    <row r="66" spans="2:9" ht="17.25" customHeight="1">
      <c r="B66" s="6" t="s">
        <v>307</v>
      </c>
      <c r="D66" s="6" t="s">
        <v>310</v>
      </c>
      <c r="E66" s="353">
        <v>0</v>
      </c>
      <c r="G66" s="173" t="e">
        <f>'รับ-จ่ายเงินสด   '!#REF!</f>
        <v>#REF!</v>
      </c>
      <c r="I66" s="305"/>
    </row>
    <row r="67" spans="2:9" ht="17.25" customHeight="1">
      <c r="B67" s="6" t="s">
        <v>307</v>
      </c>
      <c r="D67" s="6" t="s">
        <v>288</v>
      </c>
      <c r="E67" s="353" t="e">
        <f>'รับ-จ่ายเงินสด   '!#REF!</f>
        <v>#REF!</v>
      </c>
      <c r="G67" s="173" t="e">
        <f>'รับ-จ่ายเงินสด   '!#REF!</f>
        <v>#REF!</v>
      </c>
      <c r="I67" s="305"/>
    </row>
    <row r="68" spans="2:9" ht="17.25" customHeight="1">
      <c r="B68" s="6" t="s">
        <v>308</v>
      </c>
      <c r="D68" s="6" t="s">
        <v>305</v>
      </c>
      <c r="E68" s="353">
        <f>'หมายเหตุ1 '!F147</f>
        <v>0</v>
      </c>
      <c r="G68" s="173">
        <f>'หมายเหตุ1 '!G147</f>
        <v>0</v>
      </c>
      <c r="I68" s="305"/>
    </row>
    <row r="69" spans="2:9" ht="17.25" customHeight="1">
      <c r="B69" s="6" t="s">
        <v>308</v>
      </c>
      <c r="D69" s="385" t="s">
        <v>320</v>
      </c>
      <c r="E69" s="353">
        <v>3958000</v>
      </c>
      <c r="G69" s="173">
        <f>E69</f>
        <v>3958000</v>
      </c>
      <c r="I69" s="305"/>
    </row>
    <row r="72" spans="2:9" ht="20.25" customHeight="1">
      <c r="B72" s="6" t="s">
        <v>296</v>
      </c>
      <c r="D72" s="354"/>
      <c r="E72" s="353" t="e">
        <f>'รับ-จ่ายเงินสด   '!#REF!</f>
        <v>#REF!</v>
      </c>
      <c r="F72" s="353"/>
      <c r="G72" s="353" t="e">
        <f>'รับ-จ่ายเงินสด   '!#REF!</f>
        <v>#REF!</v>
      </c>
      <c r="I72" s="204"/>
    </row>
  </sheetData>
  <sheetProtection/>
  <mergeCells count="5">
    <mergeCell ref="B22:C22"/>
    <mergeCell ref="B35:C35"/>
    <mergeCell ref="A1:G1"/>
    <mergeCell ref="A2:G2"/>
    <mergeCell ref="A3:G3"/>
  </mergeCells>
  <printOptions/>
  <pageMargins left="0.82" right="0.27" top="0.53" bottom="0.12" header="0.5" footer="0.21"/>
  <pageSetup horizontalDpi="180" verticalDpi="180" orientation="portrait" paperSize="9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B6" sqref="B6"/>
    </sheetView>
  </sheetViews>
  <sheetFormatPr defaultColWidth="9.140625" defaultRowHeight="21.75"/>
  <cols>
    <col min="1" max="1" width="8.140625" style="0" customWidth="1"/>
    <col min="2" max="2" width="31.8515625" style="0" customWidth="1"/>
    <col min="3" max="3" width="29.57421875" style="0" customWidth="1"/>
    <col min="4" max="4" width="30.421875" style="0" customWidth="1"/>
  </cols>
  <sheetData>
    <row r="1" spans="1:9" ht="47.25" customHeight="1">
      <c r="A1" s="303"/>
      <c r="B1" s="303"/>
      <c r="C1" s="303"/>
      <c r="D1" s="303"/>
      <c r="E1" s="303"/>
      <c r="F1" s="303"/>
      <c r="G1" s="303"/>
      <c r="H1" s="303"/>
      <c r="I1" s="303"/>
    </row>
    <row r="2" spans="1:9" ht="47.25" customHeight="1">
      <c r="A2" s="303"/>
      <c r="B2" s="303"/>
      <c r="C2" s="303"/>
      <c r="D2" s="303"/>
      <c r="E2" s="303"/>
      <c r="F2" s="303"/>
      <c r="G2" s="303"/>
      <c r="H2" s="303"/>
      <c r="I2" s="303"/>
    </row>
    <row r="3" spans="1:9" ht="47.25" customHeight="1">
      <c r="A3" s="303"/>
      <c r="B3" s="303"/>
      <c r="C3" s="303"/>
      <c r="D3" s="303"/>
      <c r="E3" s="303"/>
      <c r="F3" s="303"/>
      <c r="G3" s="303"/>
      <c r="H3" s="303"/>
      <c r="I3" s="303"/>
    </row>
    <row r="4" spans="1:9" ht="33">
      <c r="A4" s="303"/>
      <c r="B4" s="303"/>
      <c r="C4" s="303"/>
      <c r="D4" s="303"/>
      <c r="E4" s="303"/>
      <c r="F4" s="303"/>
      <c r="G4" s="303"/>
      <c r="H4" s="303"/>
      <c r="I4" s="303"/>
    </row>
    <row r="5" spans="1:9" ht="33">
      <c r="A5" s="303"/>
      <c r="B5" s="303"/>
      <c r="C5" s="303"/>
      <c r="D5" s="303"/>
      <c r="E5" s="303"/>
      <c r="F5" s="303"/>
      <c r="G5" s="303"/>
      <c r="H5" s="303"/>
      <c r="I5" s="303"/>
    </row>
    <row r="6" spans="1:9" ht="33">
      <c r="A6" s="303"/>
      <c r="B6" s="303"/>
      <c r="C6" s="303"/>
      <c r="D6" s="303"/>
      <c r="E6" s="303"/>
      <c r="F6" s="303"/>
      <c r="G6" s="303"/>
      <c r="H6" s="303"/>
      <c r="I6" s="303"/>
    </row>
    <row r="7" spans="1:9" ht="33">
      <c r="A7" s="303"/>
      <c r="B7" s="303"/>
      <c r="C7" s="303"/>
      <c r="D7" s="303"/>
      <c r="E7" s="303"/>
      <c r="F7" s="303"/>
      <c r="G7" s="303"/>
      <c r="H7" s="303"/>
      <c r="I7" s="303"/>
    </row>
    <row r="8" spans="1:9" ht="33">
      <c r="A8" s="303"/>
      <c r="B8" s="303"/>
      <c r="C8" s="303"/>
      <c r="D8" s="303"/>
      <c r="E8" s="303"/>
      <c r="F8" s="303"/>
      <c r="G8" s="303"/>
      <c r="H8" s="303"/>
      <c r="I8" s="303"/>
    </row>
    <row r="9" spans="1:9" ht="33">
      <c r="A9" s="303"/>
      <c r="B9" s="303"/>
      <c r="C9" s="303"/>
      <c r="D9" s="303"/>
      <c r="E9" s="303"/>
      <c r="F9" s="303"/>
      <c r="G9" s="303"/>
      <c r="H9" s="303"/>
      <c r="I9" s="303"/>
    </row>
    <row r="10" spans="1:9" ht="33">
      <c r="A10" s="303"/>
      <c r="B10" s="303"/>
      <c r="C10" s="303"/>
      <c r="D10" s="303"/>
      <c r="E10" s="303"/>
      <c r="F10" s="303"/>
      <c r="G10" s="303"/>
      <c r="H10" s="303"/>
      <c r="I10" s="303"/>
    </row>
    <row r="11" spans="1:9" ht="33">
      <c r="A11" s="303"/>
      <c r="B11" s="303"/>
      <c r="C11" s="303"/>
      <c r="D11" s="303"/>
      <c r="E11" s="303"/>
      <c r="F11" s="303"/>
      <c r="G11" s="303"/>
      <c r="H11" s="303"/>
      <c r="I11" s="303"/>
    </row>
    <row r="12" spans="1:9" ht="33">
      <c r="A12" s="303"/>
      <c r="B12" s="303"/>
      <c r="C12" s="303"/>
      <c r="D12" s="303"/>
      <c r="E12" s="303"/>
      <c r="F12" s="303"/>
      <c r="G12" s="303"/>
      <c r="H12" s="303"/>
      <c r="I12" s="303"/>
    </row>
    <row r="13" spans="1:9" ht="33">
      <c r="A13" s="303"/>
      <c r="B13" s="303"/>
      <c r="C13" s="303"/>
      <c r="D13" s="303"/>
      <c r="E13" s="303"/>
      <c r="F13" s="303"/>
      <c r="G13" s="303"/>
      <c r="H13" s="303"/>
      <c r="I13" s="303"/>
    </row>
    <row r="14" spans="1:9" ht="33">
      <c r="A14" s="303"/>
      <c r="B14" s="303"/>
      <c r="C14" s="303"/>
      <c r="D14" s="303"/>
      <c r="E14" s="303"/>
      <c r="F14" s="303"/>
      <c r="G14" s="303"/>
      <c r="H14" s="303"/>
      <c r="I14" s="303"/>
    </row>
    <row r="15" spans="1:9" ht="33">
      <c r="A15" s="303"/>
      <c r="B15" s="303"/>
      <c r="C15" s="303"/>
      <c r="D15" s="303"/>
      <c r="E15" s="303"/>
      <c r="F15" s="303"/>
      <c r="G15" s="303"/>
      <c r="H15" s="303"/>
      <c r="I15" s="303"/>
    </row>
    <row r="16" spans="1:9" ht="33">
      <c r="A16" s="303"/>
      <c r="B16" s="303"/>
      <c r="C16" s="303"/>
      <c r="D16" s="303"/>
      <c r="E16" s="303"/>
      <c r="F16" s="303"/>
      <c r="G16" s="303"/>
      <c r="H16" s="303"/>
      <c r="I16" s="303"/>
    </row>
    <row r="17" spans="1:9" ht="33">
      <c r="A17" s="303"/>
      <c r="B17" s="303"/>
      <c r="C17" s="303"/>
      <c r="D17" s="303"/>
      <c r="E17" s="303"/>
      <c r="F17" s="303"/>
      <c r="G17" s="303"/>
      <c r="H17" s="303"/>
      <c r="I17" s="303"/>
    </row>
    <row r="18" spans="1:9" ht="33">
      <c r="A18" s="303"/>
      <c r="B18" s="303"/>
      <c r="C18" s="303"/>
      <c r="D18" s="303"/>
      <c r="E18" s="303"/>
      <c r="F18" s="303"/>
      <c r="G18" s="303"/>
      <c r="H18" s="303"/>
      <c r="I18" s="303"/>
    </row>
    <row r="19" spans="1:9" ht="33">
      <c r="A19" s="303"/>
      <c r="B19" s="303"/>
      <c r="C19" s="303"/>
      <c r="D19" s="303"/>
      <c r="E19" s="303"/>
      <c r="F19" s="303"/>
      <c r="G19" s="303"/>
      <c r="H19" s="303"/>
      <c r="I19" s="303"/>
    </row>
    <row r="20" spans="1:9" ht="33">
      <c r="A20" s="303"/>
      <c r="B20" s="303"/>
      <c r="C20" s="303"/>
      <c r="D20" s="303"/>
      <c r="E20" s="303"/>
      <c r="F20" s="303"/>
      <c r="G20" s="303"/>
      <c r="H20" s="303"/>
      <c r="I20" s="303"/>
    </row>
    <row r="21" spans="1:9" ht="33">
      <c r="A21" s="303"/>
      <c r="B21" s="303"/>
      <c r="C21" s="303"/>
      <c r="D21" s="303"/>
      <c r="E21" s="303"/>
      <c r="F21" s="303"/>
      <c r="G21" s="303"/>
      <c r="H21" s="303"/>
      <c r="I21" s="303"/>
    </row>
    <row r="22" spans="1:9" ht="33">
      <c r="A22" s="303"/>
      <c r="B22" s="303"/>
      <c r="C22" s="303"/>
      <c r="D22" s="303"/>
      <c r="E22" s="303"/>
      <c r="F22" s="303"/>
      <c r="G22" s="303"/>
      <c r="H22" s="303"/>
      <c r="I22" s="303"/>
    </row>
    <row r="23" spans="1:9" ht="33">
      <c r="A23" s="303"/>
      <c r="B23" s="303"/>
      <c r="C23" s="303"/>
      <c r="D23" s="303"/>
      <c r="E23" s="303"/>
      <c r="F23" s="303"/>
      <c r="G23" s="303"/>
      <c r="H23" s="303"/>
      <c r="I23" s="303"/>
    </row>
    <row r="24" spans="1:9" ht="33">
      <c r="A24" s="303"/>
      <c r="B24" s="303"/>
      <c r="C24" s="303"/>
      <c r="D24" s="303"/>
      <c r="E24" s="303"/>
      <c r="F24" s="303"/>
      <c r="G24" s="303"/>
      <c r="H24" s="303"/>
      <c r="I24" s="303"/>
    </row>
    <row r="25" spans="1:9" ht="33">
      <c r="A25" s="303"/>
      <c r="B25" s="303"/>
      <c r="C25" s="303"/>
      <c r="D25" s="303"/>
      <c r="E25" s="303"/>
      <c r="F25" s="303"/>
      <c r="G25" s="303"/>
      <c r="H25" s="303"/>
      <c r="I25" s="303"/>
    </row>
    <row r="26" spans="1:9" ht="33">
      <c r="A26" s="303"/>
      <c r="B26" s="303"/>
      <c r="C26" s="303"/>
      <c r="D26" s="303"/>
      <c r="E26" s="303"/>
      <c r="F26" s="303"/>
      <c r="G26" s="303"/>
      <c r="H26" s="303"/>
      <c r="I26" s="303"/>
    </row>
    <row r="27" spans="1:9" ht="33">
      <c r="A27" s="303"/>
      <c r="B27" s="303"/>
      <c r="C27" s="303"/>
      <c r="D27" s="303"/>
      <c r="E27" s="303"/>
      <c r="F27" s="303"/>
      <c r="G27" s="303"/>
      <c r="H27" s="303"/>
      <c r="I27" s="303"/>
    </row>
    <row r="28" spans="1:9" ht="33">
      <c r="A28" s="303"/>
      <c r="B28" s="303"/>
      <c r="C28" s="303"/>
      <c r="D28" s="303"/>
      <c r="E28" s="303"/>
      <c r="F28" s="303"/>
      <c r="G28" s="303"/>
      <c r="H28" s="303"/>
      <c r="I28" s="303"/>
    </row>
    <row r="29" spans="1:9" ht="33">
      <c r="A29" s="303"/>
      <c r="B29" s="303"/>
      <c r="C29" s="303"/>
      <c r="D29" s="303"/>
      <c r="E29" s="303"/>
      <c r="F29" s="303"/>
      <c r="G29" s="303"/>
      <c r="H29" s="303"/>
      <c r="I29" s="303"/>
    </row>
    <row r="30" spans="1:9" ht="33">
      <c r="A30" s="303"/>
      <c r="B30" s="303"/>
      <c r="C30" s="303"/>
      <c r="D30" s="303"/>
      <c r="E30" s="303"/>
      <c r="F30" s="303"/>
      <c r="G30" s="303"/>
      <c r="H30" s="303"/>
      <c r="I30" s="303"/>
    </row>
    <row r="31" spans="1:9" ht="33">
      <c r="A31" s="303"/>
      <c r="B31" s="303"/>
      <c r="C31" s="303"/>
      <c r="D31" s="303"/>
      <c r="E31" s="303"/>
      <c r="F31" s="303"/>
      <c r="G31" s="303"/>
      <c r="H31" s="303"/>
      <c r="I31" s="303"/>
    </row>
  </sheetData>
  <sheetProtection/>
  <printOptions/>
  <pageMargins left="0.5" right="0.5" top="0.5" bottom="0.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EasyXP_V.11</cp:lastModifiedBy>
  <cp:lastPrinted>2016-06-08T09:13:41Z</cp:lastPrinted>
  <dcterms:created xsi:type="dcterms:W3CDTF">2003-11-18T03:54:53Z</dcterms:created>
  <dcterms:modified xsi:type="dcterms:W3CDTF">2016-06-23T03:16:28Z</dcterms:modified>
  <cp:category/>
  <cp:version/>
  <cp:contentType/>
  <cp:contentStatus/>
</cp:coreProperties>
</file>