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660" yWindow="615" windowWidth="11550" windowHeight="7710" tabRatio="918" firstSheet="1" activeTab="8"/>
  </bookViews>
  <sheets>
    <sheet name="Sheet1" sheetId="38" r:id="rId1"/>
    <sheet name="ใบผ่านมาตรฐาน 1, 2" sheetId="23" r:id="rId2"/>
    <sheet name="งบทดลอง " sheetId="25" r:id="rId3"/>
    <sheet name="รับ-จ่ายเงินสด   " sheetId="24" r:id="rId4"/>
    <sheet name="หมายเหตุ1 " sheetId="26" r:id="rId5"/>
    <sheet name="หมายเหตุ 3" sheetId="37" r:id="rId6"/>
    <sheet name="หมายเหตุ2  " sheetId="27" r:id="rId7"/>
    <sheet name="งบกระทบยอดธนาคาร (2)" sheetId="35" r:id="rId8"/>
    <sheet name="กระแสเงินสด" sheetId="18" r:id="rId9"/>
    <sheet name="Sheet3" sheetId="3" r:id="rId10"/>
  </sheets>
  <externalReferences>
    <externalReference r:id="rId11"/>
    <externalReference r:id="rId12"/>
  </externalReferences>
  <definedNames>
    <definedName name="_xlnm.Print_Area" localSheetId="7">'งบกระทบยอดธนาคาร (2)'!$A$1:$L$74</definedName>
    <definedName name="_xlnm.Print_Area" localSheetId="1">'ใบผ่านมาตรฐาน 1, 2'!$A$1:$H$119</definedName>
    <definedName name="_xlnm.Print_Area" localSheetId="3">'รับ-จ่ายเงินสด   '!$A$1:$U$59</definedName>
  </definedNames>
  <calcPr calcId="125725"/>
</workbook>
</file>

<file path=xl/calcChain.xml><?xml version="1.0" encoding="utf-8"?>
<calcChain xmlns="http://schemas.openxmlformats.org/spreadsheetml/2006/main">
  <c r="H19" i="24"/>
  <c r="E31" i="18"/>
  <c r="D51" i="24"/>
  <c r="G31" i="18" s="1"/>
  <c r="D24" i="25"/>
  <c r="D22"/>
  <c r="H22" i="24"/>
  <c r="H24"/>
  <c r="G114" i="23"/>
  <c r="G28"/>
  <c r="H23" i="24" s="1"/>
  <c r="E16" i="18" s="1"/>
  <c r="H25" i="24"/>
  <c r="H34"/>
  <c r="H38"/>
  <c r="D24"/>
  <c r="E17" i="18" s="1"/>
  <c r="G17" s="1"/>
  <c r="F41" i="23"/>
  <c r="G51" i="26"/>
  <c r="B17" i="27"/>
  <c r="I66" i="35"/>
  <c r="I59"/>
  <c r="I23"/>
  <c r="I32" s="1"/>
  <c r="C9" i="27"/>
  <c r="A38" i="24"/>
  <c r="A36"/>
  <c r="A34"/>
  <c r="A37"/>
  <c r="A40"/>
  <c r="J52"/>
  <c r="F32" i="35"/>
  <c r="G30" i="23" l="1"/>
  <c r="I67" i="35"/>
  <c r="D50" i="24"/>
  <c r="G30" i="18" s="1"/>
  <c r="D17" i="24" l="1"/>
  <c r="G18" i="18" s="1"/>
  <c r="F30" i="25"/>
  <c r="J19" i="27"/>
  <c r="E19" i="25"/>
  <c r="H51" i="26"/>
  <c r="F51" s="1"/>
  <c r="F53" s="1"/>
  <c r="C15" i="27"/>
  <c r="G53" i="26"/>
  <c r="A39" i="24"/>
  <c r="H46"/>
  <c r="H44"/>
  <c r="A42"/>
  <c r="F7" i="26"/>
  <c r="F114" i="23"/>
  <c r="D34" i="24"/>
  <c r="E29" i="18"/>
  <c r="E28"/>
  <c r="F70" i="23"/>
  <c r="H36" i="24"/>
  <c r="D36" s="1"/>
  <c r="E12" i="27"/>
  <c r="F45" i="26"/>
  <c r="H42" i="24"/>
  <c r="H41"/>
  <c r="H35"/>
  <c r="D32" i="25"/>
  <c r="A44" i="24"/>
  <c r="F6" i="25"/>
  <c r="H27" i="26"/>
  <c r="J27" i="24"/>
  <c r="D46"/>
  <c r="G29" i="18" s="1"/>
  <c r="H40" i="24"/>
  <c r="H39"/>
  <c r="H37"/>
  <c r="D37" s="1"/>
  <c r="D25" i="25" s="1"/>
  <c r="E8" i="27"/>
  <c r="H46" i="26"/>
  <c r="E15" i="18"/>
  <c r="E13"/>
  <c r="D26" i="24"/>
  <c r="G13" i="18"/>
  <c r="G46" i="26"/>
  <c r="H15" i="24" s="1"/>
  <c r="E7" i="18" s="1"/>
  <c r="G31" i="26"/>
  <c r="F26"/>
  <c r="G27"/>
  <c r="E27"/>
  <c r="D20" i="24"/>
  <c r="D21"/>
  <c r="F44" i="26"/>
  <c r="F42"/>
  <c r="F41"/>
  <c r="F39"/>
  <c r="F37"/>
  <c r="F38"/>
  <c r="F36"/>
  <c r="F34"/>
  <c r="F12" i="25"/>
  <c r="D23" i="24"/>
  <c r="G16" i="18" s="1"/>
  <c r="D22" i="24"/>
  <c r="G15" i="18" s="1"/>
  <c r="E11"/>
  <c r="C13" i="27"/>
  <c r="C12"/>
  <c r="G12" s="1"/>
  <c r="G30" s="1"/>
  <c r="E11"/>
  <c r="E9"/>
  <c r="F43" i="26"/>
  <c r="F35"/>
  <c r="F30"/>
  <c r="F29"/>
  <c r="F17"/>
  <c r="F16"/>
  <c r="F14"/>
  <c r="F8"/>
  <c r="A41" i="24"/>
  <c r="E17" i="37"/>
  <c r="H48" i="24" s="1"/>
  <c r="H16" i="37"/>
  <c r="F16" s="1"/>
  <c r="B16"/>
  <c r="H15"/>
  <c r="G15"/>
  <c r="F15"/>
  <c r="B15"/>
  <c r="H14"/>
  <c r="B14"/>
  <c r="H13"/>
  <c r="G13"/>
  <c r="F13"/>
  <c r="B13"/>
  <c r="H10"/>
  <c r="H17"/>
  <c r="F10"/>
  <c r="B10"/>
  <c r="F21" i="26"/>
  <c r="E15" i="27"/>
  <c r="G25"/>
  <c r="E26" i="37" s="1"/>
  <c r="A7" i="27"/>
  <c r="A25" s="1"/>
  <c r="B26" i="37" s="1"/>
  <c r="E53" i="26"/>
  <c r="A16" i="24" s="1"/>
  <c r="C16" s="1"/>
  <c r="C35"/>
  <c r="C36"/>
  <c r="C37"/>
  <c r="C38"/>
  <c r="C39"/>
  <c r="C40"/>
  <c r="C41"/>
  <c r="C42"/>
  <c r="C43"/>
  <c r="C44"/>
  <c r="C34"/>
  <c r="A52"/>
  <c r="C8" i="27"/>
  <c r="G8" s="1"/>
  <c r="G26" s="1"/>
  <c r="E23" i="26"/>
  <c r="E46"/>
  <c r="G70" i="23"/>
  <c r="F15"/>
  <c r="F30" s="1"/>
  <c r="G117" i="38"/>
  <c r="G18"/>
  <c r="F30"/>
  <c r="F6"/>
  <c r="G26"/>
  <c r="G30"/>
  <c r="F117"/>
  <c r="H113"/>
  <c r="F79"/>
  <c r="G73"/>
  <c r="K73"/>
  <c r="H69"/>
  <c r="F64"/>
  <c r="F63"/>
  <c r="F62"/>
  <c r="F61"/>
  <c r="F60"/>
  <c r="H61"/>
  <c r="F59"/>
  <c r="F58"/>
  <c r="F57"/>
  <c r="F56"/>
  <c r="F55"/>
  <c r="H52"/>
  <c r="F52"/>
  <c r="F43"/>
  <c r="F74"/>
  <c r="F37"/>
  <c r="H28"/>
  <c r="H11"/>
  <c r="H9"/>
  <c r="H7"/>
  <c r="D40" i="24"/>
  <c r="D28" i="25" s="1"/>
  <c r="C10" i="27"/>
  <c r="E10"/>
  <c r="D44" i="24"/>
  <c r="D31" i="25" s="1"/>
  <c r="K67" i="23"/>
  <c r="F25" i="26"/>
  <c r="F27" s="1"/>
  <c r="M50" i="35"/>
  <c r="G13" i="27"/>
  <c r="G31" s="1"/>
  <c r="F22" i="26"/>
  <c r="F20"/>
  <c r="F23" s="1"/>
  <c r="F9"/>
  <c r="C11" i="27"/>
  <c r="G11" s="1"/>
  <c r="G29" s="1"/>
  <c r="D41" i="24"/>
  <c r="D29" i="25" s="1"/>
  <c r="D38" i="24"/>
  <c r="D26" i="25" s="1"/>
  <c r="E26" i="18"/>
  <c r="D47" i="24"/>
  <c r="G26" i="18" s="1"/>
  <c r="D45" i="24"/>
  <c r="D43"/>
  <c r="D42"/>
  <c r="D30" i="25" s="1"/>
  <c r="J57" i="24"/>
  <c r="D39"/>
  <c r="D27" i="25" s="1"/>
  <c r="D25" i="24"/>
  <c r="G14" i="18" s="1"/>
  <c r="B52" i="24"/>
  <c r="H12" i="26"/>
  <c r="G12" s="1"/>
  <c r="H18"/>
  <c r="H19"/>
  <c r="H13" i="24"/>
  <c r="H14"/>
  <c r="D14" s="1"/>
  <c r="E14" i="18"/>
  <c r="H10" i="26"/>
  <c r="H31"/>
  <c r="A15" i="24"/>
  <c r="C15" s="1"/>
  <c r="E31" i="26"/>
  <c r="A14" i="24" s="1"/>
  <c r="C14" s="1"/>
  <c r="A13"/>
  <c r="C13" s="1"/>
  <c r="A12"/>
  <c r="C12" s="1"/>
  <c r="E10" i="26"/>
  <c r="E54" s="1"/>
  <c r="G13"/>
  <c r="K10" i="27"/>
  <c r="G69" i="18"/>
  <c r="E69"/>
  <c r="G55"/>
  <c r="E55"/>
  <c r="G66"/>
  <c r="G65"/>
  <c r="E65"/>
  <c r="G64"/>
  <c r="E64"/>
  <c r="G63"/>
  <c r="G62"/>
  <c r="E62"/>
  <c r="G61"/>
  <c r="E61"/>
  <c r="G60"/>
  <c r="E60"/>
  <c r="G59"/>
  <c r="E59"/>
  <c r="G58"/>
  <c r="E58"/>
  <c r="G57"/>
  <c r="E57"/>
  <c r="H23" i="25"/>
  <c r="F37" i="23"/>
  <c r="L17" i="24"/>
  <c r="G28" i="26"/>
  <c r="N12" i="24"/>
  <c r="F75" i="23"/>
  <c r="G10" i="26"/>
  <c r="C52" i="24"/>
  <c r="K38" i="27"/>
  <c r="K49" s="1"/>
  <c r="G74" i="38"/>
  <c r="G75"/>
  <c r="G119"/>
  <c r="H130"/>
  <c r="H76"/>
  <c r="G9" i="27"/>
  <c r="G27" s="1"/>
  <c r="H27" i="37" s="1"/>
  <c r="A11" i="24"/>
  <c r="C11" s="1"/>
  <c r="F14" i="37"/>
  <c r="G14" s="1"/>
  <c r="F10" i="26"/>
  <c r="H16" i="24"/>
  <c r="D16" s="1"/>
  <c r="G8" i="18" s="1"/>
  <c r="D13" i="24"/>
  <c r="H26" i="37"/>
  <c r="C18" i="27"/>
  <c r="N52" i="24"/>
  <c r="G10" i="37"/>
  <c r="H11" i="24"/>
  <c r="H53" i="26" l="1"/>
  <c r="I53" s="1"/>
  <c r="G28" i="18"/>
  <c r="E8"/>
  <c r="E27"/>
  <c r="D48" i="24"/>
  <c r="G27" i="18" s="1"/>
  <c r="G10" i="27"/>
  <c r="H28" i="37" s="1"/>
  <c r="E28" s="1"/>
  <c r="H31"/>
  <c r="E31" s="1"/>
  <c r="G15" i="27"/>
  <c r="E17"/>
  <c r="H49" i="24" s="1"/>
  <c r="H52" s="1"/>
  <c r="J53"/>
  <c r="D35"/>
  <c r="C17" i="27"/>
  <c r="H18" i="24" s="1"/>
  <c r="H23" i="26"/>
  <c r="H54" s="1"/>
  <c r="E18" i="18"/>
  <c r="G16" i="37"/>
  <c r="G17" s="1"/>
  <c r="F17"/>
  <c r="G23" i="26"/>
  <c r="G54" s="1"/>
  <c r="F31"/>
  <c r="C27" i="24"/>
  <c r="F46" i="26"/>
  <c r="G14" i="27"/>
  <c r="H32" i="37" s="1"/>
  <c r="E32" s="1"/>
  <c r="D19" i="24"/>
  <c r="G11" i="18" s="1"/>
  <c r="L42" i="24"/>
  <c r="E24" i="18"/>
  <c r="G71" i="23"/>
  <c r="H30" i="37"/>
  <c r="E30" s="1"/>
  <c r="G28" i="27"/>
  <c r="M42" i="24"/>
  <c r="K38"/>
  <c r="K18" i="27"/>
  <c r="J56" i="24"/>
  <c r="M56" s="1"/>
  <c r="G24" i="18"/>
  <c r="D11" i="24"/>
  <c r="F54" i="26"/>
  <c r="J10"/>
  <c r="E27" i="37"/>
  <c r="H33"/>
  <c r="E33" s="1"/>
  <c r="E25" i="18"/>
  <c r="D23" i="25"/>
  <c r="F25" s="1"/>
  <c r="D15" i="24"/>
  <c r="G7" i="18" s="1"/>
  <c r="H29" i="37"/>
  <c r="E29" s="1"/>
  <c r="A27" i="24"/>
  <c r="E32" i="18" l="1"/>
  <c r="E9"/>
  <c r="G17" i="27"/>
  <c r="E16" i="25"/>
  <c r="F16" s="1"/>
  <c r="I16" i="26"/>
  <c r="I54"/>
  <c r="G32" i="27"/>
  <c r="G33" s="1"/>
  <c r="H12" i="24"/>
  <c r="E6" i="18" s="1"/>
  <c r="D18" i="24"/>
  <c r="D33" i="25"/>
  <c r="D49" i="24"/>
  <c r="D52" s="1"/>
  <c r="E34" i="37"/>
  <c r="E18" i="25" s="1"/>
  <c r="H36" i="37"/>
  <c r="H34"/>
  <c r="F28" i="25" l="1"/>
  <c r="F32" s="1"/>
  <c r="G16"/>
  <c r="I6" i="18"/>
  <c r="E20"/>
  <c r="E33" s="1"/>
  <c r="H27" i="24"/>
  <c r="G9" i="18"/>
  <c r="J33" i="27"/>
  <c r="D12" i="24"/>
  <c r="D27" s="1"/>
  <c r="D53" s="1"/>
  <c r="L12"/>
  <c r="K18"/>
  <c r="I34" i="37"/>
  <c r="G19" i="25"/>
  <c r="E33"/>
  <c r="E34" s="1"/>
  <c r="G25" i="18"/>
  <c r="G32" s="1"/>
  <c r="H53" i="24" l="1"/>
  <c r="H56"/>
  <c r="J59"/>
  <c r="G6" i="18"/>
  <c r="G20" s="1"/>
  <c r="F33" i="25"/>
  <c r="K27" i="24" l="1"/>
  <c r="D56"/>
  <c r="K58" s="1"/>
  <c r="H6" i="18"/>
  <c r="H20" s="1"/>
  <c r="J24"/>
</calcChain>
</file>

<file path=xl/comments1.xml><?xml version="1.0" encoding="utf-8"?>
<comments xmlns="http://schemas.openxmlformats.org/spreadsheetml/2006/main">
  <authors>
    <author>EasyXP_V.11</author>
  </authors>
  <commentList>
    <comment ref="C32" authorId="0">
      <text>
        <r>
          <rPr>
            <b/>
            <sz val="8"/>
            <color indexed="81"/>
            <rFont val="Tahoma"/>
            <family val="2"/>
          </rPr>
          <t>EasyXP_V.11: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<sst xmlns="http://schemas.openxmlformats.org/spreadsheetml/2006/main" count="846" uniqueCount="443">
  <si>
    <t>วันที่</t>
  </si>
  <si>
    <t>รายการ</t>
  </si>
  <si>
    <t>กองคลัง</t>
  </si>
  <si>
    <t>เครดิต</t>
  </si>
  <si>
    <t>เดบิท</t>
  </si>
  <si>
    <t>รหัสบัญชี</t>
  </si>
  <si>
    <t>จำนวนเงิน</t>
  </si>
  <si>
    <t xml:space="preserve"> </t>
  </si>
  <si>
    <t>เงินรายรับ</t>
  </si>
  <si>
    <t>รายงาน รับ - จ่าย เงินสด</t>
  </si>
  <si>
    <t>จนถึงปัจจุบัน</t>
  </si>
  <si>
    <t>เดือนนี้</t>
  </si>
  <si>
    <t>ประมาณการ</t>
  </si>
  <si>
    <t>เกิดขึ้นจริง</t>
  </si>
  <si>
    <t>รหัส</t>
  </si>
  <si>
    <t>บาท</t>
  </si>
  <si>
    <t>บัญชี</t>
  </si>
  <si>
    <t>ยอดยกมา</t>
  </si>
  <si>
    <t>ภาษีอากร</t>
  </si>
  <si>
    <t>ค่าธรรมเนียม ค่าปรับและใบอนุญาต</t>
  </si>
  <si>
    <t>รายได้จากทรัพย์สิน</t>
  </si>
  <si>
    <t>รายได้เบ็ดเตล็ด</t>
  </si>
  <si>
    <t>ภาษีจัดสรร</t>
  </si>
  <si>
    <t>เงินอุดหนุน</t>
  </si>
  <si>
    <t>รวมรายรับ</t>
  </si>
  <si>
    <t>รายจ่าย</t>
  </si>
  <si>
    <t>ค่าจ้างประจำ</t>
  </si>
  <si>
    <t>ค่าตอบแทน</t>
  </si>
  <si>
    <t>ค่าใช้สอย</t>
  </si>
  <si>
    <t>ค่าวัสดุ</t>
  </si>
  <si>
    <t>ค่าสาธารณูปโภค</t>
  </si>
  <si>
    <t>ค่าที่ดินและสิ่งก่อสร้าง</t>
  </si>
  <si>
    <t>เงินสะสม</t>
  </si>
  <si>
    <t>รายรับ                          รายจ่าย</t>
  </si>
  <si>
    <t>ยอดยกไป</t>
  </si>
  <si>
    <t>ผู้จัดทำ</t>
  </si>
  <si>
    <t>ผู้อนุมัติ</t>
  </si>
  <si>
    <t>ผู้บันทึกบัญชี</t>
  </si>
  <si>
    <t xml:space="preserve">                                 ใบผ่านรายการบัญชีมาตรฐาน</t>
  </si>
  <si>
    <t>งบกระทบยอดเงินฝากธนาคาร</t>
  </si>
  <si>
    <t>บวก</t>
  </si>
  <si>
    <t>เงินฝากระหว่างทาง</t>
  </si>
  <si>
    <t>วันที่ลงบัญชี</t>
  </si>
  <si>
    <t>เลขที่เช็ค</t>
  </si>
  <si>
    <t>หัก</t>
  </si>
  <si>
    <t xml:space="preserve">หรือ (หัก)  รายการกระทบยอดอื่น ๆ </t>
  </si>
  <si>
    <t>รายละเอียด</t>
  </si>
  <si>
    <t xml:space="preserve">   ผู้ตรวจสอบ</t>
  </si>
  <si>
    <t>(ลงชื่อ)...........................................................</t>
  </si>
  <si>
    <t>องค์การบริหารส่วนตำบลจอมบึง</t>
  </si>
  <si>
    <t xml:space="preserve">เลขที่บัญชี    </t>
  </si>
  <si>
    <t>วันที่ฝากธนาคาร</t>
  </si>
  <si>
    <t>เช็คจ่ายที่ผู้รับยังไม่นำมาขึ้นเงินกับธนาคาร</t>
  </si>
  <si>
    <t xml:space="preserve">บาท </t>
  </si>
  <si>
    <t xml:space="preserve">        (ลงชื่อ)..............................................................</t>
  </si>
  <si>
    <t>ประกันสัญญา</t>
  </si>
  <si>
    <t>ภาษีธุรกิจเฉพาะ</t>
  </si>
  <si>
    <t>ภาษีสุรา</t>
  </si>
  <si>
    <t>ภาษีสรรพสามิต</t>
  </si>
  <si>
    <t>ค่าภาคหลวงแร่</t>
  </si>
  <si>
    <t>ค่าธรรมเนียมนิติกรรมที่ดิน</t>
  </si>
  <si>
    <t>ค่าภาคหลวงปิโตรเลียม</t>
  </si>
  <si>
    <t>ภาษีโรงเรือนและที่ดิน</t>
  </si>
  <si>
    <t>ภาษีบำรุงท้องที่</t>
  </si>
  <si>
    <t>ภาษีป้าย</t>
  </si>
  <si>
    <t>องค์การบริหารส่วนตำบลจอมบึง   อำเภอจอมบึง  จังหวัดราชบุรี</t>
  </si>
  <si>
    <t xml:space="preserve">งบทดลอง </t>
  </si>
  <si>
    <t>เงินฝากธนาคาร กรุงไทย (ออมทรัพย์) เลขที่ 744-1-17485-6</t>
  </si>
  <si>
    <t>เงินฝาก ธกส. (ออมทรัพย์) เลขที่ 143-2-21177-7</t>
  </si>
  <si>
    <t>เงินฝาก ธกส. (ออมทรัพย์) เลขที่ 143-2-25754-7</t>
  </si>
  <si>
    <t xml:space="preserve"> - 2 -</t>
  </si>
  <si>
    <t>เงินอุดหนุนทั่วไป</t>
  </si>
  <si>
    <t>ภาษีหัก  ณ  ที่จ่าย</t>
  </si>
  <si>
    <t>รวม</t>
  </si>
  <si>
    <t xml:space="preserve">ยอดคงเหลือตามบัญชีเงินฝากของ  อบต.จอมบึง  ณ  วันที่  </t>
  </si>
  <si>
    <t xml:space="preserve">ยอดเงินคงเหลือตามรายงาน  บมจ.ธนาคารกรุงไทย  ณ  วันที่ </t>
  </si>
  <si>
    <t>องค์การบริหารส่วนตำบลจอมบึง   อำเภอจอมบึง   จังหวัดราชบุรี</t>
  </si>
  <si>
    <t>รายรับจริงประกอบงบทดลองและรายงานรับ - จ่ายเงินสด</t>
  </si>
  <si>
    <t>รายได้จัดเก็บเอง</t>
  </si>
  <si>
    <t>หมวดภาษีอากร</t>
  </si>
  <si>
    <t>หมวดค่าธรรมเนียม  ค่าปรับและใบอนุญาต</t>
  </si>
  <si>
    <t>ค่าธรรมเนียมเกี่ยวกับใบอนุญาตการขายสุรา</t>
  </si>
  <si>
    <t>ค่าธรรมเนียมเกี่ยวกับใบอนุญาตการพนัน</t>
  </si>
  <si>
    <t>ค่าปรับผู้กระทำผิดกฎหมายจราจรทางบก</t>
  </si>
  <si>
    <t>ค่าใบอนุญาตเกี่ยวกับการโฆษณาโดยใช้เครื่องขยายเสียง</t>
  </si>
  <si>
    <t>หมวดรายได้จากทรัพย์สิน</t>
  </si>
  <si>
    <t>ดอกเบี้ย</t>
  </si>
  <si>
    <t>หมวดรายได้เบ็ดเตล็ด</t>
  </si>
  <si>
    <t>ค่าขายแบบแปลน</t>
  </si>
  <si>
    <t xml:space="preserve">รายได้เบ็ดเตล็ดอื่น ๆ </t>
  </si>
  <si>
    <t>รายได้ที่รัฐบาลเก็บแล้วจัดสรรให้องค์กรปกครองส่วนท้องถิ่น</t>
  </si>
  <si>
    <t>หมวดภาษีจัดสรร</t>
  </si>
  <si>
    <t>ภาษีและค่าธรรมเนียมรถยนต์หรือล้อเลื่อน</t>
  </si>
  <si>
    <t>ค่าภาคหลวงและค่าธรรมเนียมป่าไม้</t>
  </si>
  <si>
    <t>รายได้ที่รัฐบาลอุดหนุนให้องค์กรปกครองท้องถิ่น</t>
  </si>
  <si>
    <t>หมวดเงินอุดหนุน</t>
  </si>
  <si>
    <t>รวมรายได้ทั้งสิ้น</t>
  </si>
  <si>
    <t>รับ</t>
  </si>
  <si>
    <t>จ่าย</t>
  </si>
  <si>
    <t>คงเหลือ</t>
  </si>
  <si>
    <t>ส่วนลด ภบท. 6%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</si>
  <si>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</si>
  <si>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</si>
  <si>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</si>
  <si>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</si>
  <si>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</si>
  <si>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</si>
  <si>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</si>
  <si>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</si>
  <si>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</si>
  <si>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รายรับ  (หมายเหตุ 1)</t>
  </si>
  <si>
    <t>เงินรับฝาก  (หมายเหตุ 2)</t>
  </si>
  <si>
    <t>รายละเอียดเงินรับฝาก  ประกอบงบทดลองและรายงานรับ - จ่ายเงินสด</t>
  </si>
  <si>
    <t>สูงกว่า</t>
  </si>
  <si>
    <t>(ต่ำกว่า)</t>
  </si>
  <si>
    <t>หมวดที่จ่าย</t>
  </si>
  <si>
    <t>รายงานกระแสเงินสด</t>
  </si>
  <si>
    <t>รายรับ</t>
  </si>
  <si>
    <t>ตั้งแต่ต้นปีถึงปัจจุบัน</t>
  </si>
  <si>
    <t>รับเงินอุดหนุนทั่วไป</t>
  </si>
  <si>
    <t>จ่ายเงินรับฝาก</t>
  </si>
  <si>
    <t>จ่ายเงินสะสม</t>
  </si>
  <si>
    <t>รายจ่ายค้างจ่าย</t>
  </si>
  <si>
    <t>เงินทุนสำรองเงินสะสม</t>
  </si>
  <si>
    <t>080</t>
  </si>
  <si>
    <t>ค่าครุภัณฑ์</t>
  </si>
  <si>
    <t>ค่าใบอนุญาตจัดตั้งสถานที่จำหน่ายอาหารหรือสถานที่สะสม</t>
  </si>
  <si>
    <t>อาหารในอาคาร หรือพื้นที่ใด  ซึ่งมีพื้นที่เกิน  200  ตารางเมตร</t>
  </si>
  <si>
    <t>ค่าใบอนุญาตอื่น ๆ (ค่าใบอนุญาตประกอบกิจการที่เป็นอันตรายฯ)</t>
  </si>
  <si>
    <t>ปิดทะเบียนเงินรายรับ</t>
  </si>
  <si>
    <t>รับจริงเดือนนี้</t>
  </si>
  <si>
    <t>รับจริงถึงปัจจุบัน</t>
  </si>
  <si>
    <t>คงเหลือค้างจ่าย</t>
  </si>
  <si>
    <t>(หมายเลข 1)</t>
  </si>
  <si>
    <t>(หมายเลข 2)</t>
  </si>
  <si>
    <t>(หมายเลข 3)</t>
  </si>
  <si>
    <t>ปรับปรุงสมุดเงินสดรับไปบัญชีแยกประเภท</t>
  </si>
  <si>
    <t xml:space="preserve"> ค่าสาธารณูปโภค</t>
  </si>
  <si>
    <t xml:space="preserve">ยอดเงินคงเหลือตามรายงาน  ธนาคาร  ธกส.  สาขาจอมบึง  ณ  วันที่ </t>
  </si>
  <si>
    <t>งบกลาง</t>
  </si>
  <si>
    <r>
      <t>ฝ่าย</t>
    </r>
    <r>
      <rPr>
        <sz val="16"/>
        <rFont val="Angsana New"/>
        <family val="1"/>
      </rPr>
      <t xml:space="preserve"> </t>
    </r>
  </si>
  <si>
    <r>
      <t>คำอธิบาย</t>
    </r>
    <r>
      <rPr>
        <b/>
        <sz val="16"/>
        <rFont val="Angsana New"/>
        <family val="1"/>
      </rPr>
      <t xml:space="preserve"> เพื่อบันทึก</t>
    </r>
  </si>
  <si>
    <t>ค่าปรับผิดสัญญา</t>
  </si>
  <si>
    <r>
      <t>คำอธิบาย</t>
    </r>
    <r>
      <rPr>
        <b/>
        <sz val="15"/>
        <rFont val="Angsana New"/>
        <family val="1"/>
      </rPr>
      <t xml:space="preserve"> เพื่อบันทึก</t>
    </r>
  </si>
  <si>
    <t>ภาษีมูลค่าเพิ่ม (พ.ร.บ.)</t>
  </si>
  <si>
    <t>ภาษีมูลค่าเพิ่ม (1 ใน 9)</t>
  </si>
  <si>
    <t>เงินรับฝาก         - ภาษีหัก ณ ที่จ่าย</t>
  </si>
  <si>
    <t>ที่ดินและสิ่งก่อสร้าง</t>
  </si>
  <si>
    <t>เงินรับฝาก - ภาษีหัก ณ ที่จ่าย</t>
  </si>
  <si>
    <t>เงินฝากธนาคารกรุงไทย กระแสรายวัน(744-6-00292-1)</t>
  </si>
  <si>
    <t>เงินฝากธนาคาร ธกส.-กระแสรายวัน(143-5-00013-3)</t>
  </si>
  <si>
    <t>ย/ม</t>
  </si>
  <si>
    <t>744 - 1 - 17485 - 6</t>
  </si>
  <si>
    <t>เงินฝากธนาคารกรุงไทย - ออมทรัพย์   (744-1-17485-6)</t>
  </si>
  <si>
    <t xml:space="preserve">        </t>
  </si>
  <si>
    <t>จ่ายเดือนนี้</t>
  </si>
  <si>
    <t>(นางสาวศรีไพร   อินทร)</t>
  </si>
  <si>
    <t>ธ.ก.ส.   สาขาจอมบึง</t>
  </si>
  <si>
    <t>ธนาคารกรุงไทย   สาขาจอมบึง</t>
  </si>
  <si>
    <t>เงินรับฝาก  - ส่วนลดในการจัดเก็บ ภบท.6%</t>
  </si>
  <si>
    <t>คำอธิบาย      เพื่อบันทึก</t>
  </si>
  <si>
    <t>ภาษีมูลค่าเพิ่ม (1ใน9)</t>
  </si>
  <si>
    <t>ค่าธรรมเนียมใบอนุญาตสะสม/จำหน่ายอาหาร</t>
  </si>
  <si>
    <t>ค่าธรรมเนียมใบอนุญาตกิจการที่เป็นอันตรายฯ</t>
  </si>
  <si>
    <t>ค่าดอกเบี้ยเงินฝากธนาคาร</t>
  </si>
  <si>
    <t>ลูกหนี้ เงินยืมเงินงบประมาณ</t>
  </si>
  <si>
    <t xml:space="preserve">ยอดคงเหลือตามบัญชีเงินฝากของ  อบต.จอมบึง     ณ  วันที่  </t>
  </si>
  <si>
    <t>ปรับปรุงสมุดเงินสดจ่ายไปบัญชีแยกประเภท</t>
  </si>
  <si>
    <t>ภาษีหน้าฎีกา</t>
  </si>
  <si>
    <r>
      <t xml:space="preserve">รายรับ  </t>
    </r>
    <r>
      <rPr>
        <sz val="14"/>
        <rFont val="AngsanaUPC"/>
        <family val="1"/>
        <charset val="222"/>
      </rPr>
      <t>(หมายเหตุ 1)</t>
    </r>
  </si>
  <si>
    <t>เงินอุดหนุนเฉพาะกิจ</t>
  </si>
  <si>
    <t>เงินสด</t>
  </si>
  <si>
    <t xml:space="preserve"> เงินสด</t>
  </si>
  <si>
    <t>รับเงินรายรับ  (รายได้จัดเก็บเอง)</t>
  </si>
  <si>
    <t>รับเงินรายรับ  (ภาษีจัดสรร)</t>
  </si>
  <si>
    <t>รายได้เบ็ตเตล็ด</t>
  </si>
  <si>
    <t>ยอดยกมาเดือนก่อน</t>
  </si>
  <si>
    <t>(10)</t>
  </si>
  <si>
    <t>ค่าธรรมเนียมน้ำบาดาลและใช้น้ำบาดาล</t>
  </si>
  <si>
    <t>เงินทุน ศก.ชช บัญชี 2</t>
  </si>
  <si>
    <t>412210</t>
  </si>
  <si>
    <t>411001</t>
  </si>
  <si>
    <t>411002</t>
  </si>
  <si>
    <t>411003</t>
  </si>
  <si>
    <t>421004</t>
  </si>
  <si>
    <t>421006</t>
  </si>
  <si>
    <t>421007</t>
  </si>
  <si>
    <t>421013</t>
  </si>
  <si>
    <t>421015</t>
  </si>
  <si>
    <t>412303</t>
  </si>
  <si>
    <t>413003</t>
  </si>
  <si>
    <t>415004</t>
  </si>
  <si>
    <t>415999</t>
  </si>
  <si>
    <t>230102</t>
  </si>
  <si>
    <t>300000</t>
  </si>
  <si>
    <t>110203</t>
  </si>
  <si>
    <t>110200</t>
  </si>
  <si>
    <t>400000</t>
  </si>
  <si>
    <t>รายจ่ายอื่น</t>
  </si>
  <si>
    <t>110201</t>
  </si>
  <si>
    <t>110202</t>
  </si>
  <si>
    <t>320000</t>
  </si>
  <si>
    <t>230100</t>
  </si>
  <si>
    <t>5542000</t>
  </si>
  <si>
    <t>412000</t>
  </si>
  <si>
    <t>413000</t>
  </si>
  <si>
    <t>415000</t>
  </si>
  <si>
    <t>421000</t>
  </si>
  <si>
    <t>431000</t>
  </si>
  <si>
    <t>5510000</t>
  </si>
  <si>
    <t>5521000</t>
  </si>
  <si>
    <t>5531000</t>
  </si>
  <si>
    <t>5532000</t>
  </si>
  <si>
    <t>5533000</t>
  </si>
  <si>
    <t>5534000</t>
  </si>
  <si>
    <t>5541000</t>
  </si>
  <si>
    <t>5560000</t>
  </si>
  <si>
    <t>5510100</t>
  </si>
  <si>
    <t>5210400</t>
  </si>
  <si>
    <t>ค่าปรับการผิดสัญญา</t>
  </si>
  <si>
    <t>ภาษีมูลค่าเพิ่ม (พ.ร.บ.) กำหนดแผนฯ</t>
  </si>
  <si>
    <t>ค่าธรรมเนียมจดทะเบียนสิทธิและนิติตามประมวลกฎหมายที่ดิน</t>
  </si>
  <si>
    <t>ลูกหนี้ - ค่าภาษีโรงเรือนและที่ดิน</t>
  </si>
  <si>
    <t>ลูกหนี้ - ค่าภาษีบำรุงท้องที่</t>
  </si>
  <si>
    <t>ลูกหนี้  ภาษีบำรุงท้องที่</t>
  </si>
  <si>
    <t>เงินฝากธนาคารกรุงไทย (ประจำ) เลขที่ 744-2-01169 - 1</t>
  </si>
  <si>
    <t>ลูกหนี้ - ภาษีโรงเรือนและที่ดิน</t>
  </si>
  <si>
    <t>ลูกหนี้ - ภาษีบำรุงท้องที่</t>
  </si>
  <si>
    <t>ลูกหนี้ - ภาษีป้าย</t>
  </si>
  <si>
    <t>ลูกหนี้ - ภาษีบำรุงท้อง</t>
  </si>
  <si>
    <t xml:space="preserve">           (นางอุบล   คำภูแสน)</t>
  </si>
  <si>
    <t>421003</t>
  </si>
  <si>
    <t>421005</t>
  </si>
  <si>
    <t>421012</t>
  </si>
  <si>
    <t>412109</t>
  </si>
  <si>
    <t>ค่าธรรมเนียมจดทะเบียนพาณิชย์</t>
  </si>
  <si>
    <t>412128</t>
  </si>
  <si>
    <t>เงินค้ำประกันสัญญา</t>
  </si>
  <si>
    <t>440001</t>
  </si>
  <si>
    <t>สูงอายุ (รัฐบาล)</t>
  </si>
  <si>
    <t>สมุดบ/ช</t>
  </si>
  <si>
    <t>สถานะประจำวัน</t>
  </si>
  <si>
    <t>440002</t>
  </si>
  <si>
    <t>560000</t>
  </si>
  <si>
    <t>เงินฝากธนาคารกรุงไทย - กระแสรายวัน   (744-6-00223-9)</t>
  </si>
  <si>
    <t xml:space="preserve">รับเงินรับฝาก </t>
  </si>
  <si>
    <t>จ่ายเงินตามงบประมาณ</t>
  </si>
  <si>
    <t>ค่าจ้างชั่วคราว</t>
  </si>
  <si>
    <t>รับเงินอุดหนุนเฉพาะกิจ (ผู้สูงอายุ)</t>
  </si>
  <si>
    <t>รับเงินอุดหนุนเฉพาะกิจ (ผู้พิการ)</t>
  </si>
  <si>
    <t xml:space="preserve">          มาจากสมุดเงินสดรับและสมุดเงินสดจ่ายไม่เกี่ยวกับรายการปรับปรุงบัญชีที่เกิด</t>
  </si>
  <si>
    <t>รับเงินอุดหนุนเฉพาะกิจ ค่าจ้างชั่วคราว ผดด</t>
  </si>
  <si>
    <t>รับเงินอุดหนุนเฉพาะกิจ ประกันสังคม ผดด</t>
  </si>
  <si>
    <t>เงินฝากธนาคารกรุงไทย ประจำเลขที่ 744-2-01169-1</t>
  </si>
  <si>
    <t>เงินฝากธนาคารออมสินประจำเลขที่ 36136000138-8</t>
  </si>
  <si>
    <t>เงินเดือน (การเมือง)</t>
  </si>
  <si>
    <t>เงินเดือน(ฝ่ายประจำ)</t>
  </si>
  <si>
    <t>พิการ (รัฐบาล)</t>
  </si>
  <si>
    <t>เงินฝากธนาคารออมสิน(ประจำ) เลขที่ 36136000138-8</t>
  </si>
  <si>
    <t>440003</t>
  </si>
  <si>
    <t>440004</t>
  </si>
  <si>
    <t>ประกันสังคม</t>
  </si>
  <si>
    <t>ผดด 3</t>
  </si>
  <si>
    <t>ผดด 1</t>
  </si>
  <si>
    <t>440005</t>
  </si>
  <si>
    <t>ยาเสพติด</t>
  </si>
  <si>
    <t>เงินฝากธนาคาร ธกส - ออมทรัพย์   (01143-2-21177-7)</t>
  </si>
  <si>
    <t>เงินฝากธนาคาร ธกส - ออมทรัพย์   (01143-2-25754-7)</t>
  </si>
  <si>
    <t>นักวิชาการเงินและบัญชี</t>
  </si>
  <si>
    <t>เงินฝากธนาคาร ธกส - กระแสรายวัน   (143-5-000-13-3)</t>
  </si>
  <si>
    <t>ลูกหนี้ยืมเงินงบประมาณ</t>
  </si>
  <si>
    <t>01143 - 2 - 21177 - 7</t>
  </si>
  <si>
    <t>ภาษีการพนัน</t>
  </si>
  <si>
    <t>421008</t>
  </si>
  <si>
    <t xml:space="preserve">            ผู้อำนวยการกองคลัง</t>
  </si>
  <si>
    <t>สวัสดิการ ผดด</t>
  </si>
  <si>
    <t>ท่อเมนประปา</t>
  </si>
  <si>
    <t xml:space="preserve">รับเงินอุดหนุนเฉพาะกิจ </t>
  </si>
  <si>
    <t>รับเงินอุดหนุนเฉพาะกิจ</t>
  </si>
  <si>
    <t>ครุภัณฑ์คอมพิวเตอร์ ศพด</t>
  </si>
  <si>
    <t>ค่าวัสดุการศึกษา ศพด</t>
  </si>
  <si>
    <t>จ่ายเงินทุนสำรองสะสม</t>
  </si>
  <si>
    <t>โครงการก่าสร้างอาคาร ศพด+สนามฟุตซอล</t>
  </si>
  <si>
    <t>ค่าใบอนุญาตอื่น ๆ</t>
  </si>
  <si>
    <t>ธ.ค</t>
  </si>
  <si>
    <t>เงินรับฝาก         - ประกันสังคม</t>
  </si>
  <si>
    <t xml:space="preserve">     ประกันสังคม</t>
  </si>
  <si>
    <t>ค่าใบอนุญาตเกี่ยวกับการควบคุมอาคาร/ก่อสร้างบ้าน</t>
  </si>
  <si>
    <t>110100</t>
  </si>
  <si>
    <t>ค่าธรรมเนียมการควบคุมอาคาร/ก่อสร้างบ้าน</t>
  </si>
  <si>
    <t>สื่อการเรียนการสอน</t>
  </si>
  <si>
    <t>เงินรับฝาก-ประกันสังคม</t>
  </si>
  <si>
    <t xml:space="preserve"> ค่าครุภัณฑ์</t>
  </si>
  <si>
    <t>ส่วนลด ภบท. 5%</t>
  </si>
  <si>
    <t>เงินรับฝาก  - ส่วนลดในการจัดเก็บ ภบท.5%</t>
  </si>
  <si>
    <t>อุดหนุนโครงการ สปสช.</t>
  </si>
  <si>
    <t>เงินอุดหนุนเฉพาะกิจ ค่ารักษาพยาบาล (ปีเก่า)</t>
  </si>
  <si>
    <t>เงินเดือน การเมือง</t>
  </si>
  <si>
    <t>เงินเดือน ประจำ</t>
  </si>
  <si>
    <t>เงินเดือน (ประจำ)</t>
  </si>
  <si>
    <t>รับฝาก  โครงการ สปสช</t>
  </si>
  <si>
    <t>ภาษีรถยนต์/ล้อเลือน</t>
  </si>
  <si>
    <t>รับคืน - ลูกหนี้เงินยืมเงินงบประมาณ</t>
  </si>
  <si>
    <t>เงินฝากธนาคาร ธกส - ออมทรัพย์   (310000980967)</t>
  </si>
  <si>
    <t>การเรียนการสอน</t>
  </si>
  <si>
    <t>เงินอุดหนุนระบุ</t>
  </si>
  <si>
    <t>วัตถุประสงค์</t>
  </si>
  <si>
    <t>(บาท)</t>
  </si>
  <si>
    <t>เฉพาะกิจบาท</t>
  </si>
  <si>
    <t xml:space="preserve">                             องค์การบริหารส่วนตำบลจอมบึง   อำเภอจอมบึง   จังหวัดราชบุรี</t>
  </si>
  <si>
    <t>หมายเหตุ  1</t>
  </si>
  <si>
    <r>
      <t>เงินรับฝาก</t>
    </r>
    <r>
      <rPr>
        <b/>
        <sz val="14"/>
        <rFont val="Angsana New"/>
        <family val="1"/>
        <charset val="222"/>
      </rPr>
      <t xml:space="preserve">  (หมายเหตุ  3)</t>
    </r>
  </si>
  <si>
    <t>เงินรับฝาก  (หมายเหตุ 3)</t>
  </si>
  <si>
    <t>รายจ่ายค้างจ่าย  (หมายเหตุ 2)</t>
  </si>
  <si>
    <t xml:space="preserve">รวมรายจ่าย </t>
  </si>
  <si>
    <t>ผลรวมต่อเดือน</t>
  </si>
  <si>
    <t>ผลรวมทั้งปี</t>
  </si>
  <si>
    <t>ลูกหนี้ - เงินทุนโครงการเศรษฐกิจชุมชน บัญชี 2</t>
  </si>
  <si>
    <t>113500</t>
  </si>
  <si>
    <t>190001</t>
  </si>
  <si>
    <t>รายจ่ายค้างจ่าย (หมายเหตุ 2)</t>
  </si>
  <si>
    <t>211000</t>
  </si>
  <si>
    <t>เงินรับฝาก  (หมายเหตุ 3 )</t>
  </si>
  <si>
    <t>215000</t>
  </si>
  <si>
    <t>310000</t>
  </si>
  <si>
    <t>งบกลาง (ท)</t>
  </si>
  <si>
    <t>เงินเดือน (ท)</t>
  </si>
  <si>
    <t>ค่าตอบแทน (ท)</t>
  </si>
  <si>
    <t>เงินฝากธนาคา ธกส.(ประจำ) เลขที่ 310000980967</t>
  </si>
  <si>
    <t>เงินรับฝาก  (หมายเหตุ  3)</t>
  </si>
  <si>
    <t>สะสม</t>
  </si>
  <si>
    <t>ทุนสะสม</t>
  </si>
  <si>
    <t>เงินรับฝาก - เงินทุน ศชช.  บัญชีที่ 2</t>
  </si>
  <si>
    <t>ลูกหนี้ ศชช.  บัญชีที่ 2</t>
  </si>
  <si>
    <t>เงินรับฝาก  - เงินค้ำประกันสัญญา</t>
  </si>
  <si>
    <t>ลูกหนี้เงินยืมงบประมาณ</t>
  </si>
  <si>
    <t>รับฝาก  ส่วนลด 6%</t>
  </si>
  <si>
    <t>รายได้ค่าปรับ</t>
  </si>
  <si>
    <t>ลูกหนี้ - เงินยืมเงินงบประมาณ</t>
  </si>
  <si>
    <t>อุดหนุน</t>
  </si>
  <si>
    <t>ลูกหนี้ - ค่าภาษีป้าย</t>
  </si>
  <si>
    <t xml:space="preserve">  </t>
  </si>
  <si>
    <t>ค่าคุรภัณฑ์</t>
  </si>
  <si>
    <t>ตั้งสิ้นปี 59</t>
  </si>
  <si>
    <t xml:space="preserve">                                                                                                                                                                                                           </t>
  </si>
  <si>
    <t>ที่ดินและสิ่งก่อสร้าง (ก) จ่ายขาดเงินทุนสำรองเงินสะสม</t>
  </si>
  <si>
    <t>รับฝาก  เทคนิคการแพทย์ สปสช</t>
  </si>
  <si>
    <t>รับฝาก  เงินทุนเศรษฐกิจชุมชน บัญชี 2</t>
  </si>
  <si>
    <t>ปี 60</t>
  </si>
  <si>
    <t>ถึงปัจจุบัน</t>
  </si>
  <si>
    <t xml:space="preserve">      ตั้งแต่ต้นปี</t>
  </si>
  <si>
    <t xml:space="preserve">รวม </t>
  </si>
  <si>
    <t>ค่าธรรมเนียมขอรับใบอนุญาตน้ำบาดาล</t>
  </si>
  <si>
    <t xml:space="preserve">                          อุดหนุนโครงการ สปสช.</t>
  </si>
  <si>
    <t xml:space="preserve">                         ภาษีหัก  ณ  ที่จ่าย</t>
  </si>
  <si>
    <t xml:space="preserve">                         ประกันสัญญา</t>
  </si>
  <si>
    <t xml:space="preserve">                          ส่วนลด ภบท. 6%</t>
  </si>
  <si>
    <t xml:space="preserve">                        ส่วนลด ภบท. 5%</t>
  </si>
  <si>
    <t xml:space="preserve">                        เงินทุน ศก.ชช บัญชี 2</t>
  </si>
  <si>
    <t xml:space="preserve">                          ประกันสังคม</t>
  </si>
  <si>
    <t>รับฝาก  ส่งคืนเงินโครงการ สปสช</t>
  </si>
  <si>
    <t>ค่าวัสดุ (ก)</t>
  </si>
  <si>
    <t>รับคืน - เบี้ยผู้สูงอายุ(งบกลาง)</t>
  </si>
  <si>
    <t>เงินรับฝาก - อุดหนุนโครงการ สปสช</t>
  </si>
  <si>
    <t>30  ตุลาคม  2559</t>
  </si>
  <si>
    <t>อาหารเสริม (นม)</t>
  </si>
  <si>
    <t>ส่งเสริมการศึกษา</t>
  </si>
  <si>
    <t>เอดส์</t>
  </si>
  <si>
    <t>เลขที่  3/ ต.ค. /59</t>
  </si>
  <si>
    <t xml:space="preserve"> เลขที่  2/ ต.ค.  /59</t>
  </si>
  <si>
    <t>เลขที่  1/ ต.ค.  /59</t>
  </si>
  <si>
    <t>421001</t>
  </si>
  <si>
    <t>421017</t>
  </si>
  <si>
    <t>412106</t>
  </si>
  <si>
    <t>ใบผ่านรายการบัญชีมาตรฐาน</t>
  </si>
  <si>
    <t>เงินรับฝาก -อุดหนุนโครงการ สปสช</t>
  </si>
  <si>
    <t>เงินรับฝาก         -ค่าปรับผิดสัญญา</t>
  </si>
  <si>
    <t>ภาษีจัดสรรอื่น (สรรพมิตพื้นที่)</t>
  </si>
  <si>
    <t>ค่าภาษีจัดสรรอื่นๆ (สรรพมิตพื้นที่)</t>
  </si>
  <si>
    <t>421999</t>
  </si>
  <si>
    <t xml:space="preserve"> อุดหนุนโครงการ สปสช.</t>
  </si>
  <si>
    <t>ค่าสหกรณ์</t>
  </si>
  <si>
    <t>ค่า.ใช้สอย</t>
  </si>
  <si>
    <t xml:space="preserve">        รายจ่ายอื่น</t>
  </si>
  <si>
    <t>เงินรับฝาก - ประกันสัญญา</t>
  </si>
  <si>
    <t>นม</t>
  </si>
  <si>
    <t>กลางวัน</t>
  </si>
  <si>
    <t>ง/ด ต/ท ป/ก</t>
  </si>
  <si>
    <t>สื่อ</t>
  </si>
  <si>
    <t>สาธารณสุข</t>
  </si>
  <si>
    <t>ส</t>
  </si>
  <si>
    <t>พ</t>
  </si>
  <si>
    <t xml:space="preserve">รับคืน - งบกลาง </t>
  </si>
  <si>
    <t>ลูกหนี้  ภาษีโรงเรือนและที่ดิน</t>
  </si>
  <si>
    <t>ลูกหนี้  ภาษีป้าย</t>
  </si>
  <si>
    <t>รับคืน - เงินเดือน</t>
  </si>
  <si>
    <t>รับคืน -'งบกลาง</t>
  </si>
  <si>
    <t>เงินรับฝาก โครงการ สปสช</t>
  </si>
  <si>
    <t>รายได้จากทรัพย์อื่นๆ</t>
  </si>
  <si>
    <t>รายได้จากทรัพย์สินอื่นๆ</t>
  </si>
  <si>
    <t>ค่ารักษาพยาบาล (เทคนิกการแพทย์)</t>
  </si>
  <si>
    <t>ลูกหนี้ - เงินทุนโครงการเศรษฐกิจชุมชน</t>
  </si>
  <si>
    <t>สุนัขบ้า</t>
  </si>
  <si>
    <t>ลุกหนี้เงินยืม เงินงบประมาณ</t>
  </si>
  <si>
    <t>เงินรับฝาก - ลูกหนี้เงินทุน ศชช.  บัญชีที่ 2</t>
  </si>
  <si>
    <t>เงินรับฝาก ส่วนลดในการจัดเก็บภาษี 6%</t>
  </si>
  <si>
    <t>เงินรับฝาก-ค่าใช้จ่ายอื่น (สหกรณ์)</t>
  </si>
  <si>
    <t>เงินรับฝาก         - ค่าใช้จ่ายอื่น</t>
  </si>
  <si>
    <t>รับคืน - งบกลาง (เบี้ยผู้สูงอายุ)</t>
  </si>
  <si>
    <r>
      <t xml:space="preserve">เงินอุดหนุนทั่วไป </t>
    </r>
    <r>
      <rPr>
        <sz val="14"/>
        <color theme="0"/>
        <rFont val="Angsana New"/>
        <family val="1"/>
      </rPr>
      <t>สำหรับ อปทที่มีการบริหารจัดการที่ดี</t>
    </r>
  </si>
  <si>
    <t>ลูกหนี้เงินทุน ศชช</t>
  </si>
  <si>
    <t>รายรับต่ำกว่ารายจ่าย</t>
  </si>
  <si>
    <t>28  มิถุนายน  2561</t>
  </si>
  <si>
    <t>เงินโอนยังมิได้บันทึกบัญชี</t>
  </si>
  <si>
    <t>ณ  วันที่   31   กรกฎาคม 2561</t>
  </si>
  <si>
    <t>ปีงบประมาณ ประจำเดือน  กรกฎาคม  2561</t>
  </si>
  <si>
    <t>ณ วันที่  31    กรกฎคม 2561</t>
  </si>
  <si>
    <t xml:space="preserve"> ณ  31    กรกฎาคม  2561</t>
  </si>
  <si>
    <t xml:space="preserve"> ณ  31   กรกฎาคม  2561</t>
  </si>
  <si>
    <t>ณ  วันที่   31   กรกมาคม  2561</t>
  </si>
  <si>
    <t>ณ  วันที่   31  กรกฎาคม  2561</t>
  </si>
  <si>
    <t>ณ   วันที่   31   กรกฎาคม 2561</t>
  </si>
  <si>
    <t>เลขที่  1/   ก.ค  /61</t>
  </si>
  <si>
    <t>31   กรกฎาคม 2561</t>
  </si>
  <si>
    <t xml:space="preserve"> เลขที่  2/  ก.ค /61</t>
  </si>
  <si>
    <t>เลขที่  3/ ก.ค /61</t>
  </si>
  <si>
    <t>เงินรับฝาก รอคืนจัวหวัด</t>
  </si>
  <si>
    <t>รับคืน - เงินอุดหนุน</t>
  </si>
  <si>
    <t>รับคืนค่าตอบแทน พนักงานจ้าง+เงินเพื่ม (หมวดเงินเดือน)</t>
  </si>
  <si>
    <t>รับคืน -เงินเดือน (ค่าจ้างชั่วคราว)</t>
  </si>
  <si>
    <t xml:space="preserve">   31    กรกฎาคม   2561</t>
  </si>
  <si>
    <t xml:space="preserve"> 23   กรกฎาคม  2561</t>
  </si>
  <si>
    <t>26602179</t>
  </si>
  <si>
    <t>26602180</t>
  </si>
  <si>
    <t>26602183</t>
  </si>
  <si>
    <t>26602188</t>
  </si>
  <si>
    <t xml:space="preserve"> "</t>
  </si>
  <si>
    <t xml:space="preserve">  31   กรกฎาคม   2561</t>
  </si>
  <si>
    <t>25  กรกฎาคม  2561</t>
  </si>
  <si>
    <t>23  กรกฎาคม  2561</t>
  </si>
  <si>
    <t>10064797</t>
  </si>
  <si>
    <t>10064801</t>
  </si>
  <si>
    <t>31   กรกฎาคม  2561</t>
  </si>
</sst>
</file>

<file path=xl/styles.xml><?xml version="1.0" encoding="utf-8"?>
<styleSheet xmlns="http://schemas.openxmlformats.org/spreadsheetml/2006/main">
  <numFmts count="6">
    <numFmt numFmtId="8" formatCode="&quot;฿&quot;#,##0.00;[Red]\-&quot;฿&quot;#,##0.00"/>
    <numFmt numFmtId="43" formatCode="_-* #,##0.00_-;\-* #,##0.00_-;_-* &quot;-&quot;??_-;_-@_-"/>
    <numFmt numFmtId="187" formatCode="_(* #,##0.00_);_(* \(#,##0.00\);_(* &quot;-&quot;??_);_(@_)"/>
    <numFmt numFmtId="188" formatCode="#,##0.00_ ;\-#,##0.00\ "/>
    <numFmt numFmtId="189" formatCode="_-* #,##0_-;\-* #,##0_-;_-* &quot;-&quot;??_-;_-@_-"/>
    <numFmt numFmtId="190" formatCode="#,##0.00_ ;[Red]\-#,##0.00\ "/>
  </numFmts>
  <fonts count="59">
    <font>
      <sz val="14"/>
      <name val="Cordia New"/>
      <charset val="222"/>
    </font>
    <font>
      <sz val="14"/>
      <name val="Cordia New"/>
      <charset val="222"/>
    </font>
    <font>
      <sz val="16"/>
      <name val="AngsanaUPC"/>
      <family val="1"/>
      <charset val="222"/>
    </font>
    <font>
      <sz val="18"/>
      <name val="AngsanaUPC"/>
      <family val="1"/>
      <charset val="222"/>
    </font>
    <font>
      <sz val="14"/>
      <name val="AngsanaUPC"/>
      <family val="1"/>
      <charset val="222"/>
    </font>
    <font>
      <b/>
      <sz val="14"/>
      <name val="AngsanaUPC"/>
      <family val="1"/>
      <charset val="222"/>
    </font>
    <font>
      <sz val="17"/>
      <name val="AngsanaUPC"/>
      <family val="1"/>
      <charset val="222"/>
    </font>
    <font>
      <sz val="14"/>
      <name val="Angsana New"/>
      <family val="1"/>
      <charset val="222"/>
    </font>
    <font>
      <b/>
      <sz val="15"/>
      <name val="Angsana New"/>
      <family val="1"/>
    </font>
    <font>
      <b/>
      <sz val="14"/>
      <name val="Angsana New"/>
      <family val="1"/>
      <charset val="222"/>
    </font>
    <font>
      <sz val="16"/>
      <name val="Angsana New"/>
      <family val="1"/>
    </font>
    <font>
      <b/>
      <sz val="16"/>
      <name val="Angsana New"/>
      <family val="1"/>
    </font>
    <font>
      <b/>
      <u/>
      <sz val="16"/>
      <name val="Angsana New"/>
      <family val="1"/>
    </font>
    <font>
      <sz val="15"/>
      <name val="Angsana New"/>
      <family val="1"/>
    </font>
    <font>
      <b/>
      <u/>
      <sz val="15"/>
      <name val="Angsana New"/>
      <family val="1"/>
    </font>
    <font>
      <b/>
      <sz val="14"/>
      <color indexed="10"/>
      <name val="Angsana New"/>
      <family val="1"/>
      <charset val="222"/>
    </font>
    <font>
      <sz val="14"/>
      <color indexed="10"/>
      <name val="Angsana New"/>
      <family val="1"/>
      <charset val="222"/>
    </font>
    <font>
      <sz val="17"/>
      <color indexed="10"/>
      <name val="AngsanaUPC"/>
      <family val="1"/>
      <charset val="222"/>
    </font>
    <font>
      <sz val="16"/>
      <color indexed="10"/>
      <name val="AngsanaUPC"/>
      <family val="1"/>
      <charset val="222"/>
    </font>
    <font>
      <sz val="18"/>
      <color indexed="10"/>
      <name val="AngsanaUPC"/>
      <family val="1"/>
      <charset val="222"/>
    </font>
    <font>
      <sz val="15"/>
      <name val="AngsanaUPC"/>
      <family val="1"/>
      <charset val="222"/>
    </font>
    <font>
      <u/>
      <sz val="15"/>
      <name val="AngsanaUPC"/>
      <family val="1"/>
      <charset val="222"/>
    </font>
    <font>
      <b/>
      <sz val="17"/>
      <name val="Angsana New"/>
      <family val="1"/>
    </font>
    <font>
      <sz val="14"/>
      <name val="Cordia New"/>
      <family val="2"/>
    </font>
    <font>
      <b/>
      <sz val="15"/>
      <name val="AngsanaUPC"/>
      <family val="1"/>
      <charset val="222"/>
    </font>
    <font>
      <b/>
      <sz val="18"/>
      <name val="AngsanaUPC"/>
      <family val="1"/>
      <charset val="222"/>
    </font>
    <font>
      <u/>
      <sz val="16"/>
      <name val="Angsana New"/>
      <family val="1"/>
    </font>
    <font>
      <b/>
      <sz val="14"/>
      <color indexed="10"/>
      <name val="AngﳈanaUPC"/>
      <family val="1"/>
      <charset val="222"/>
    </font>
    <font>
      <u/>
      <sz val="14"/>
      <name val="AngsanaUPC"/>
      <family val="1"/>
      <charset val="222"/>
    </font>
    <font>
      <sz val="14"/>
      <color indexed="10"/>
      <name val="AngsanaUPC"/>
      <family val="1"/>
      <charset val="222"/>
    </font>
    <font>
      <b/>
      <u/>
      <sz val="14"/>
      <name val="Angsana New"/>
      <family val="1"/>
      <charset val="222"/>
    </font>
    <font>
      <b/>
      <sz val="15"/>
      <color indexed="10"/>
      <name val="AngﳈanaUPC"/>
      <family val="1"/>
      <charset val="222"/>
    </font>
    <font>
      <sz val="15"/>
      <color indexed="10"/>
      <name val="AngsanaUPC"/>
      <family val="1"/>
      <charset val="222"/>
    </font>
    <font>
      <sz val="14"/>
      <color indexed="8"/>
      <name val="AngsanaUPC"/>
      <family val="1"/>
      <charset val="222"/>
    </font>
    <font>
      <sz val="11"/>
      <name val="AngsanaUPC"/>
      <family val="1"/>
      <charset val="222"/>
    </font>
    <font>
      <sz val="14"/>
      <name val="Angsana New"/>
      <family val="1"/>
    </font>
    <font>
      <sz val="14"/>
      <color indexed="18"/>
      <name val="AngsanaUPC"/>
      <family val="1"/>
      <charset val="222"/>
    </font>
    <font>
      <sz val="14"/>
      <name val="CordiaUPC"/>
      <family val="2"/>
      <charset val="222"/>
    </font>
    <font>
      <b/>
      <sz val="14"/>
      <color indexed="10"/>
      <name val="CordiaUPC"/>
      <family val="2"/>
      <charset val="222"/>
    </font>
    <font>
      <b/>
      <sz val="14"/>
      <name val="CordiaUPC"/>
      <family val="2"/>
      <charset val="222"/>
    </font>
    <font>
      <sz val="14"/>
      <color indexed="10"/>
      <name val="CordiaUPC"/>
      <family val="2"/>
      <charset val="222"/>
    </font>
    <font>
      <b/>
      <sz val="16"/>
      <name val="Angsana New"/>
      <family val="1"/>
      <charset val="222"/>
    </font>
    <font>
      <sz val="12"/>
      <name val="Angsana New"/>
      <family val="1"/>
    </font>
    <font>
      <sz val="22"/>
      <name val="Cordia New"/>
      <family val="2"/>
    </font>
    <font>
      <sz val="11"/>
      <color indexed="10"/>
      <name val="AngsanaUPC"/>
      <family val="1"/>
      <charset val="222"/>
    </font>
    <font>
      <b/>
      <sz val="18"/>
      <color indexed="10"/>
      <name val="AngsanaUPC"/>
      <family val="1"/>
      <charset val="222"/>
    </font>
    <font>
      <b/>
      <sz val="14"/>
      <name val="Angsana New"/>
      <family val="1"/>
    </font>
    <font>
      <sz val="14"/>
      <color indexed="14"/>
      <name val="Angsana New"/>
      <family val="1"/>
      <charset val="222"/>
    </font>
    <font>
      <sz val="16"/>
      <name val="Angsana New"/>
      <family val="1"/>
      <charset val="22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6"/>
      <color theme="8"/>
      <name val="Angsana New"/>
      <family val="1"/>
    </font>
    <font>
      <sz val="14"/>
      <color rgb="FFFF0000"/>
      <name val="AngsanaUPC"/>
      <family val="1"/>
      <charset val="222"/>
    </font>
    <font>
      <sz val="16"/>
      <color rgb="FFFF0000"/>
      <name val="Angsana New"/>
      <family val="1"/>
    </font>
    <font>
      <sz val="14"/>
      <color theme="0"/>
      <name val="AngsanaUPC"/>
      <family val="1"/>
      <charset val="222"/>
    </font>
    <font>
      <sz val="14"/>
      <color theme="0"/>
      <name val="Angsana New"/>
      <family val="1"/>
      <charset val="222"/>
    </font>
    <font>
      <b/>
      <sz val="14"/>
      <color theme="0"/>
      <name val="Angsana New"/>
      <family val="1"/>
      <charset val="222"/>
    </font>
    <font>
      <sz val="14"/>
      <color rgb="FFFF0000"/>
      <name val="Angsana New"/>
      <family val="1"/>
      <charset val="222"/>
    </font>
    <font>
      <sz val="14"/>
      <color theme="0"/>
      <name val="Angsana New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1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Border="1"/>
    <xf numFmtId="43" fontId="2" fillId="0" borderId="0" xfId="1" applyFont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0" xfId="0" applyFont="1" applyBorder="1"/>
    <xf numFmtId="0" fontId="6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49" fontId="6" fillId="0" borderId="2" xfId="0" applyNumberFormat="1" applyFont="1" applyBorder="1" applyAlignment="1">
      <alignment horizontal="center"/>
    </xf>
    <xf numFmtId="0" fontId="6" fillId="0" borderId="0" xfId="0" applyFont="1" applyBorder="1"/>
    <xf numFmtId="0" fontId="6" fillId="0" borderId="0" xfId="0" applyFont="1"/>
    <xf numFmtId="0" fontId="6" fillId="0" borderId="3" xfId="0" applyFont="1" applyBorder="1" applyAlignment="1">
      <alignment horizontal="center"/>
    </xf>
    <xf numFmtId="49" fontId="6" fillId="0" borderId="4" xfId="0" applyNumberFormat="1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49" fontId="6" fillId="0" borderId="5" xfId="0" applyNumberFormat="1" applyFont="1" applyBorder="1" applyAlignment="1">
      <alignment horizontal="center"/>
    </xf>
    <xf numFmtId="0" fontId="7" fillId="0" borderId="0" xfId="0" applyFont="1"/>
    <xf numFmtId="43" fontId="7" fillId="0" borderId="0" xfId="1" applyFont="1"/>
    <xf numFmtId="0" fontId="7" fillId="0" borderId="6" xfId="0" applyFont="1" applyBorder="1"/>
    <xf numFmtId="0" fontId="9" fillId="0" borderId="0" xfId="0" applyFont="1"/>
    <xf numFmtId="0" fontId="7" fillId="0" borderId="3" xfId="0" applyFont="1" applyBorder="1"/>
    <xf numFmtId="43" fontId="7" fillId="0" borderId="3" xfId="1" applyFont="1" applyBorder="1"/>
    <xf numFmtId="0" fontId="7" fillId="0" borderId="7" xfId="0" applyFont="1" applyBorder="1"/>
    <xf numFmtId="1" fontId="7" fillId="0" borderId="4" xfId="0" quotePrefix="1" applyNumberFormat="1" applyFont="1" applyBorder="1" applyAlignment="1">
      <alignment horizontal="center"/>
    </xf>
    <xf numFmtId="43" fontId="7" fillId="0" borderId="4" xfId="1" applyFont="1" applyBorder="1"/>
    <xf numFmtId="49" fontId="7" fillId="0" borderId="0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0" fontId="7" fillId="0" borderId="4" xfId="0" applyFont="1" applyBorder="1"/>
    <xf numFmtId="43" fontId="7" fillId="0" borderId="8" xfId="1" applyFont="1" applyBorder="1"/>
    <xf numFmtId="0" fontId="9" fillId="0" borderId="0" xfId="0" applyFont="1" applyBorder="1"/>
    <xf numFmtId="0" fontId="7" fillId="0" borderId="4" xfId="0" quotePrefix="1" applyFont="1" applyBorder="1" applyAlignment="1">
      <alignment horizontal="center"/>
    </xf>
    <xf numFmtId="49" fontId="7" fillId="0" borderId="0" xfId="0" applyNumberFormat="1" applyFont="1" applyAlignment="1">
      <alignment horizontal="center"/>
    </xf>
    <xf numFmtId="49" fontId="7" fillId="0" borderId="0" xfId="0" applyNumberFormat="1" applyFont="1"/>
    <xf numFmtId="49" fontId="9" fillId="0" borderId="0" xfId="0" applyNumberFormat="1" applyFont="1"/>
    <xf numFmtId="0" fontId="7" fillId="0" borderId="4" xfId="0" applyFont="1" applyBorder="1" applyAlignment="1">
      <alignment horizontal="center"/>
    </xf>
    <xf numFmtId="49" fontId="9" fillId="0" borderId="0" xfId="0" applyNumberFormat="1" applyFont="1" applyAlignment="1"/>
    <xf numFmtId="0" fontId="7" fillId="0" borderId="0" xfId="0" applyFont="1" applyBorder="1"/>
    <xf numFmtId="0" fontId="9" fillId="0" borderId="0" xfId="0" applyFont="1" applyBorder="1" applyAlignment="1">
      <alignment horizontal="center"/>
    </xf>
    <xf numFmtId="43" fontId="7" fillId="0" borderId="0" xfId="1" applyFont="1" applyBorder="1"/>
    <xf numFmtId="189" fontId="7" fillId="0" borderId="0" xfId="1" applyNumberFormat="1" applyFont="1" applyBorder="1"/>
    <xf numFmtId="0" fontId="9" fillId="0" borderId="9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8" xfId="0" applyFont="1" applyBorder="1" applyAlignment="1">
      <alignment horizontal="center" vertical="center"/>
    </xf>
    <xf numFmtId="43" fontId="9" fillId="0" borderId="8" xfId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/>
    <xf numFmtId="0" fontId="10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15" fontId="10" fillId="0" borderId="0" xfId="0" applyNumberFormat="1" applyFont="1" applyBorder="1" applyAlignment="1">
      <alignment horizontal="right"/>
    </xf>
    <xf numFmtId="49" fontId="10" fillId="0" borderId="0" xfId="0" applyNumberFormat="1" applyFont="1"/>
    <xf numFmtId="0" fontId="11" fillId="0" borderId="0" xfId="0" applyFont="1" applyBorder="1" applyAlignment="1"/>
    <xf numFmtId="0" fontId="10" fillId="0" borderId="0" xfId="0" applyFont="1" applyBorder="1" applyAlignment="1"/>
    <xf numFmtId="0" fontId="10" fillId="0" borderId="10" xfId="0" applyFont="1" applyBorder="1"/>
    <xf numFmtId="0" fontId="10" fillId="0" borderId="10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12" xfId="0" applyFont="1" applyBorder="1"/>
    <xf numFmtId="0" fontId="10" fillId="0" borderId="4" xfId="0" quotePrefix="1" applyFont="1" applyBorder="1" applyAlignment="1">
      <alignment horizontal="center"/>
    </xf>
    <xf numFmtId="0" fontId="10" fillId="0" borderId="4" xfId="0" applyFont="1" applyBorder="1"/>
    <xf numFmtId="0" fontId="10" fillId="0" borderId="0" xfId="0" applyFont="1" applyBorder="1"/>
    <xf numFmtId="43" fontId="10" fillId="0" borderId="13" xfId="1" applyFont="1" applyBorder="1"/>
    <xf numFmtId="0" fontId="11" fillId="0" borderId="0" xfId="0" applyFont="1" applyBorder="1" applyAlignment="1">
      <alignment horizontal="right"/>
    </xf>
    <xf numFmtId="43" fontId="10" fillId="0" borderId="4" xfId="1" applyFont="1" applyBorder="1"/>
    <xf numFmtId="0" fontId="10" fillId="2" borderId="0" xfId="0" applyFont="1" applyFill="1" applyBorder="1"/>
    <xf numFmtId="43" fontId="10" fillId="0" borderId="0" xfId="1" applyFont="1" applyBorder="1"/>
    <xf numFmtId="0" fontId="10" fillId="0" borderId="14" xfId="0" applyFont="1" applyBorder="1"/>
    <xf numFmtId="0" fontId="12" fillId="0" borderId="15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15" fontId="10" fillId="0" borderId="0" xfId="0" applyNumberFormat="1" applyFont="1" applyBorder="1" applyAlignment="1">
      <alignment horizontal="left"/>
    </xf>
    <xf numFmtId="0" fontId="13" fillId="0" borderId="0" xfId="0" applyFont="1"/>
    <xf numFmtId="0" fontId="8" fillId="0" borderId="0" xfId="0" applyFont="1" applyBorder="1" applyAlignment="1">
      <alignment horizontal="center"/>
    </xf>
    <xf numFmtId="0" fontId="13" fillId="0" borderId="12" xfId="0" applyFont="1" applyBorder="1"/>
    <xf numFmtId="0" fontId="13" fillId="0" borderId="0" xfId="0" applyFont="1" applyBorder="1"/>
    <xf numFmtId="43" fontId="13" fillId="0" borderId="0" xfId="0" applyNumberFormat="1" applyFont="1"/>
    <xf numFmtId="0" fontId="13" fillId="0" borderId="14" xfId="0" applyFont="1" applyBorder="1"/>
    <xf numFmtId="0" fontId="13" fillId="0" borderId="16" xfId="0" applyFont="1" applyBorder="1"/>
    <xf numFmtId="0" fontId="14" fillId="0" borderId="15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5" fillId="0" borderId="0" xfId="0" applyFont="1" applyAlignment="1">
      <alignment horizontal="center" vertical="center"/>
    </xf>
    <xf numFmtId="0" fontId="16" fillId="0" borderId="0" xfId="0" applyFont="1"/>
    <xf numFmtId="43" fontId="16" fillId="0" borderId="0" xfId="1" applyFont="1"/>
    <xf numFmtId="43" fontId="16" fillId="0" borderId="8" xfId="1" applyFont="1" applyBorder="1"/>
    <xf numFmtId="0" fontId="16" fillId="0" borderId="0" xfId="0" applyFont="1" applyBorder="1"/>
    <xf numFmtId="0" fontId="15" fillId="0" borderId="0" xfId="0" applyFont="1" applyAlignment="1">
      <alignment vertical="center"/>
    </xf>
    <xf numFmtId="188" fontId="16" fillId="0" borderId="18" xfId="1" applyNumberFormat="1" applyFont="1" applyBorder="1" applyAlignment="1">
      <alignment horizontal="center"/>
    </xf>
    <xf numFmtId="0" fontId="17" fillId="0" borderId="0" xfId="0" applyFont="1" applyBorder="1"/>
    <xf numFmtId="0" fontId="18" fillId="0" borderId="0" xfId="0" applyFont="1" applyBorder="1"/>
    <xf numFmtId="0" fontId="19" fillId="0" borderId="0" xfId="0" applyFont="1" applyBorder="1"/>
    <xf numFmtId="0" fontId="20" fillId="0" borderId="7" xfId="0" applyFont="1" applyBorder="1" applyAlignment="1">
      <alignment horizontal="center"/>
    </xf>
    <xf numFmtId="49" fontId="20" fillId="0" borderId="4" xfId="0" applyNumberFormat="1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20" fillId="0" borderId="0" xfId="0" applyFont="1"/>
    <xf numFmtId="43" fontId="7" fillId="0" borderId="18" xfId="1" applyFont="1" applyBorder="1" applyAlignment="1">
      <alignment horizontal="right"/>
    </xf>
    <xf numFmtId="0" fontId="20" fillId="0" borderId="0" xfId="0" applyFont="1" applyBorder="1"/>
    <xf numFmtId="0" fontId="2" fillId="0" borderId="0" xfId="0" applyFont="1" applyAlignment="1">
      <alignment horizontal="left"/>
    </xf>
    <xf numFmtId="49" fontId="10" fillId="0" borderId="4" xfId="0" applyNumberFormat="1" applyFont="1" applyBorder="1" applyAlignment="1">
      <alignment horizontal="center"/>
    </xf>
    <xf numFmtId="43" fontId="11" fillId="0" borderId="15" xfId="0" applyNumberFormat="1" applyFont="1" applyBorder="1" applyAlignment="1">
      <alignment horizontal="left"/>
    </xf>
    <xf numFmtId="49" fontId="10" fillId="0" borderId="0" xfId="0" applyNumberFormat="1" applyFont="1" applyBorder="1" applyAlignment="1">
      <alignment horizontal="left"/>
    </xf>
    <xf numFmtId="187" fontId="7" fillId="0" borderId="0" xfId="0" applyNumberFormat="1" applyFont="1"/>
    <xf numFmtId="43" fontId="7" fillId="0" borderId="0" xfId="0" applyNumberFormat="1" applyFont="1"/>
    <xf numFmtId="49" fontId="5" fillId="0" borderId="16" xfId="0" applyNumberFormat="1" applyFont="1" applyBorder="1" applyAlignment="1">
      <alignment horizontal="center"/>
    </xf>
    <xf numFmtId="49" fontId="4" fillId="0" borderId="4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9" xfId="0" applyNumberFormat="1" applyFont="1" applyBorder="1" applyAlignment="1">
      <alignment horizontal="center"/>
    </xf>
    <xf numFmtId="43" fontId="4" fillId="0" borderId="19" xfId="1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43" fontId="6" fillId="0" borderId="0" xfId="1" applyFont="1"/>
    <xf numFmtId="43" fontId="20" fillId="0" borderId="0" xfId="1" applyFont="1"/>
    <xf numFmtId="43" fontId="3" fillId="0" borderId="0" xfId="1" applyFont="1"/>
    <xf numFmtId="0" fontId="20" fillId="0" borderId="0" xfId="0" applyFont="1" applyBorder="1" applyAlignment="1">
      <alignment horizontal="center"/>
    </xf>
    <xf numFmtId="0" fontId="24" fillId="0" borderId="0" xfId="0" applyFont="1"/>
    <xf numFmtId="43" fontId="20" fillId="0" borderId="0" xfId="1" applyFont="1" applyBorder="1"/>
    <xf numFmtId="0" fontId="20" fillId="0" borderId="14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49" fontId="20" fillId="0" borderId="0" xfId="0" applyNumberFormat="1" applyFont="1" applyBorder="1" applyAlignment="1">
      <alignment horizontal="left"/>
    </xf>
    <xf numFmtId="0" fontId="20" fillId="0" borderId="6" xfId="0" applyFont="1" applyBorder="1"/>
    <xf numFmtId="0" fontId="20" fillId="0" borderId="7" xfId="0" applyFont="1" applyBorder="1"/>
    <xf numFmtId="0" fontId="21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0" fillId="0" borderId="19" xfId="0" applyFont="1" applyBorder="1"/>
    <xf numFmtId="49" fontId="20" fillId="0" borderId="0" xfId="0" applyNumberFormat="1" applyFont="1"/>
    <xf numFmtId="0" fontId="20" fillId="0" borderId="14" xfId="0" applyFont="1" applyBorder="1"/>
    <xf numFmtId="0" fontId="20" fillId="0" borderId="17" xfId="0" applyFont="1" applyBorder="1"/>
    <xf numFmtId="43" fontId="20" fillId="0" borderId="20" xfId="1" applyFont="1" applyBorder="1"/>
    <xf numFmtId="0" fontId="20" fillId="0" borderId="19" xfId="0" applyFont="1" applyBorder="1" applyAlignment="1">
      <alignment horizontal="center"/>
    </xf>
    <xf numFmtId="0" fontId="25" fillId="0" borderId="0" xfId="0" applyFont="1"/>
    <xf numFmtId="0" fontId="25" fillId="0" borderId="7" xfId="0" applyFont="1" applyBorder="1"/>
    <xf numFmtId="0" fontId="3" fillId="0" borderId="14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49" fontId="20" fillId="0" borderId="14" xfId="0" applyNumberFormat="1" applyFont="1" applyBorder="1"/>
    <xf numFmtId="43" fontId="20" fillId="0" borderId="14" xfId="0" applyNumberFormat="1" applyFont="1" applyBorder="1"/>
    <xf numFmtId="0" fontId="25" fillId="0" borderId="0" xfId="0" applyFont="1" applyBorder="1"/>
    <xf numFmtId="0" fontId="10" fillId="0" borderId="0" xfId="0" applyFont="1" applyBorder="1" applyAlignment="1">
      <alignment horizontal="right"/>
    </xf>
    <xf numFmtId="0" fontId="10" fillId="0" borderId="9" xfId="0" applyFont="1" applyBorder="1" applyAlignment="1">
      <alignment horizontal="center"/>
    </xf>
    <xf numFmtId="0" fontId="10" fillId="0" borderId="7" xfId="0" applyFont="1" applyBorder="1"/>
    <xf numFmtId="43" fontId="10" fillId="0" borderId="7" xfId="0" applyNumberFormat="1" applyFont="1" applyBorder="1"/>
    <xf numFmtId="43" fontId="10" fillId="0" borderId="7" xfId="1" applyFont="1" applyBorder="1"/>
    <xf numFmtId="49" fontId="10" fillId="0" borderId="0" xfId="0" applyNumberFormat="1" applyFont="1" applyBorder="1"/>
    <xf numFmtId="43" fontId="13" fillId="0" borderId="0" xfId="1" applyFont="1" applyBorder="1"/>
    <xf numFmtId="43" fontId="13" fillId="0" borderId="7" xfId="1" applyFont="1" applyBorder="1"/>
    <xf numFmtId="43" fontId="13" fillId="0" borderId="9" xfId="0" applyNumberFormat="1" applyFont="1" applyBorder="1"/>
    <xf numFmtId="49" fontId="13" fillId="0" borderId="4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13" fillId="0" borderId="15" xfId="0" applyFont="1" applyBorder="1" applyAlignment="1">
      <alignment horizontal="center"/>
    </xf>
    <xf numFmtId="0" fontId="10" fillId="0" borderId="15" xfId="0" applyFont="1" applyBorder="1" applyAlignment="1">
      <alignment horizontal="left"/>
    </xf>
    <xf numFmtId="188" fontId="13" fillId="0" borderId="15" xfId="1" applyNumberFormat="1" applyFont="1" applyBorder="1"/>
    <xf numFmtId="0" fontId="13" fillId="0" borderId="6" xfId="0" applyFont="1" applyBorder="1"/>
    <xf numFmtId="0" fontId="20" fillId="0" borderId="0" xfId="0" applyFont="1" applyBorder="1" applyAlignment="1">
      <alignment horizontal="left"/>
    </xf>
    <xf numFmtId="0" fontId="20" fillId="0" borderId="4" xfId="0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43" fontId="13" fillId="0" borderId="12" xfId="0" applyNumberFormat="1" applyFont="1" applyBorder="1"/>
    <xf numFmtId="43" fontId="13" fillId="0" borderId="8" xfId="0" applyNumberFormat="1" applyFont="1" applyBorder="1" applyAlignment="1">
      <alignment vertical="center"/>
    </xf>
    <xf numFmtId="187" fontId="13" fillId="0" borderId="0" xfId="0" applyNumberFormat="1" applyFont="1"/>
    <xf numFmtId="43" fontId="10" fillId="2" borderId="0" xfId="0" applyNumberFormat="1" applyFont="1" applyFill="1" applyBorder="1"/>
    <xf numFmtId="43" fontId="5" fillId="0" borderId="21" xfId="1" applyFont="1" applyBorder="1"/>
    <xf numFmtId="0" fontId="5" fillId="0" borderId="21" xfId="0" applyFont="1" applyBorder="1" applyAlignment="1">
      <alignment horizontal="left" indent="1"/>
    </xf>
    <xf numFmtId="0" fontId="5" fillId="0" borderId="22" xfId="0" applyFont="1" applyBorder="1" applyAlignment="1">
      <alignment horizontal="left" indent="1"/>
    </xf>
    <xf numFmtId="49" fontId="5" fillId="0" borderId="2" xfId="0" applyNumberFormat="1" applyFont="1" applyBorder="1" applyAlignment="1">
      <alignment horizontal="center"/>
    </xf>
    <xf numFmtId="0" fontId="5" fillId="0" borderId="0" xfId="0" applyFont="1" applyBorder="1"/>
    <xf numFmtId="43" fontId="27" fillId="0" borderId="21" xfId="1" applyFont="1" applyBorder="1"/>
    <xf numFmtId="43" fontId="4" fillId="0" borderId="0" xfId="1" applyFont="1"/>
    <xf numFmtId="43" fontId="5" fillId="0" borderId="0" xfId="1" applyFont="1"/>
    <xf numFmtId="0" fontId="5" fillId="0" borderId="0" xfId="0" applyFont="1"/>
    <xf numFmtId="43" fontId="4" fillId="0" borderId="7" xfId="1" applyFont="1" applyBorder="1"/>
    <xf numFmtId="0" fontId="4" fillId="0" borderId="7" xfId="0" applyFont="1" applyBorder="1"/>
    <xf numFmtId="0" fontId="28" fillId="0" borderId="7" xfId="0" applyFont="1" applyBorder="1" applyAlignment="1">
      <alignment horizontal="left" indent="1"/>
    </xf>
    <xf numFmtId="0" fontId="28" fillId="0" borderId="12" xfId="0" applyFont="1" applyBorder="1" applyAlignment="1">
      <alignment horizontal="left" indent="1"/>
    </xf>
    <xf numFmtId="43" fontId="4" fillId="0" borderId="4" xfId="1" applyFont="1" applyBorder="1"/>
    <xf numFmtId="0" fontId="4" fillId="0" borderId="0" xfId="0" applyFont="1" applyBorder="1"/>
    <xf numFmtId="0" fontId="29" fillId="0" borderId="0" xfId="0" applyFont="1" applyBorder="1"/>
    <xf numFmtId="0" fontId="4" fillId="0" borderId="7" xfId="0" applyFont="1" applyBorder="1" applyAlignment="1">
      <alignment horizontal="left" indent="1"/>
    </xf>
    <xf numFmtId="0" fontId="4" fillId="0" borderId="12" xfId="0" applyFont="1" applyBorder="1" applyAlignment="1">
      <alignment horizontal="left" indent="1"/>
    </xf>
    <xf numFmtId="43" fontId="29" fillId="0" borderId="0" xfId="1" applyFont="1" applyBorder="1"/>
    <xf numFmtId="43" fontId="4" fillId="0" borderId="18" xfId="0" applyNumberFormat="1" applyFont="1" applyBorder="1"/>
    <xf numFmtId="43" fontId="4" fillId="0" borderId="0" xfId="0" applyNumberFormat="1" applyFont="1" applyBorder="1"/>
    <xf numFmtId="43" fontId="4" fillId="0" borderId="7" xfId="0" applyNumberFormat="1" applyFont="1" applyBorder="1"/>
    <xf numFmtId="0" fontId="4" fillId="0" borderId="0" xfId="0" applyFont="1" applyBorder="1" applyAlignment="1">
      <alignment horizontal="left" indent="1"/>
    </xf>
    <xf numFmtId="43" fontId="5" fillId="0" borderId="7" xfId="0" applyNumberFormat="1" applyFont="1" applyBorder="1"/>
    <xf numFmtId="0" fontId="4" fillId="0" borderId="21" xfId="0" applyFont="1" applyBorder="1"/>
    <xf numFmtId="0" fontId="28" fillId="0" borderId="21" xfId="0" applyFont="1" applyBorder="1"/>
    <xf numFmtId="0" fontId="4" fillId="0" borderId="22" xfId="0" applyFont="1" applyBorder="1"/>
    <xf numFmtId="49" fontId="4" fillId="0" borderId="2" xfId="0" applyNumberFormat="1" applyFont="1" applyBorder="1" applyAlignment="1">
      <alignment horizontal="center"/>
    </xf>
    <xf numFmtId="0" fontId="4" fillId="0" borderId="2" xfId="0" applyFont="1" applyBorder="1"/>
    <xf numFmtId="49" fontId="4" fillId="0" borderId="7" xfId="0" applyNumberFormat="1" applyFont="1" applyBorder="1" applyAlignment="1">
      <alignment horizontal="center"/>
    </xf>
    <xf numFmtId="0" fontId="4" fillId="0" borderId="4" xfId="0" applyFont="1" applyBorder="1" applyAlignment="1">
      <alignment horizontal="left" indent="1"/>
    </xf>
    <xf numFmtId="43" fontId="4" fillId="0" borderId="0" xfId="0" applyNumberFormat="1" applyFont="1"/>
    <xf numFmtId="43" fontId="4" fillId="0" borderId="8" xfId="1" applyFont="1" applyBorder="1"/>
    <xf numFmtId="43" fontId="29" fillId="0" borderId="8" xfId="0" applyNumberFormat="1" applyFont="1" applyBorder="1"/>
    <xf numFmtId="0" fontId="4" fillId="0" borderId="12" xfId="0" applyFont="1" applyBorder="1"/>
    <xf numFmtId="43" fontId="29" fillId="0" borderId="0" xfId="1" applyFont="1"/>
    <xf numFmtId="0" fontId="4" fillId="0" borderId="4" xfId="0" applyFont="1" applyBorder="1"/>
    <xf numFmtId="43" fontId="5" fillId="0" borderId="9" xfId="0" applyNumberFormat="1" applyFont="1" applyBorder="1" applyAlignment="1">
      <alignment horizontal="center" vertical="center"/>
    </xf>
    <xf numFmtId="43" fontId="5" fillId="0" borderId="8" xfId="0" applyNumberFormat="1" applyFont="1" applyBorder="1" applyAlignment="1">
      <alignment horizontal="center" vertical="center"/>
    </xf>
    <xf numFmtId="0" fontId="29" fillId="0" borderId="0" xfId="0" applyFont="1"/>
    <xf numFmtId="43" fontId="5" fillId="0" borderId="0" xfId="1" applyFont="1" applyAlignment="1">
      <alignment horizontal="center"/>
    </xf>
    <xf numFmtId="0" fontId="27" fillId="0" borderId="0" xfId="0" applyFont="1" applyAlignment="1">
      <alignment horizontal="center"/>
    </xf>
    <xf numFmtId="43" fontId="4" fillId="0" borderId="23" xfId="1" applyFont="1" applyBorder="1"/>
    <xf numFmtId="43" fontId="29" fillId="0" borderId="0" xfId="0" applyNumberFormat="1" applyFont="1"/>
    <xf numFmtId="0" fontId="29" fillId="0" borderId="0" xfId="0" applyFont="1" applyAlignment="1">
      <alignment horizontal="left"/>
    </xf>
    <xf numFmtId="43" fontId="4" fillId="0" borderId="0" xfId="1" applyFont="1" applyBorder="1"/>
    <xf numFmtId="0" fontId="7" fillId="0" borderId="0" xfId="0" applyFont="1" applyAlignment="1">
      <alignment horizontal="center"/>
    </xf>
    <xf numFmtId="0" fontId="30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43" fontId="7" fillId="0" borderId="0" xfId="1" applyFont="1" applyAlignment="1">
      <alignment horizontal="center"/>
    </xf>
    <xf numFmtId="43" fontId="7" fillId="0" borderId="23" xfId="1" applyFont="1" applyBorder="1"/>
    <xf numFmtId="43" fontId="10" fillId="0" borderId="0" xfId="1" applyFont="1" applyBorder="1" applyAlignment="1">
      <alignment horizontal="center"/>
    </xf>
    <xf numFmtId="0" fontId="31" fillId="0" borderId="0" xfId="0" applyFont="1"/>
    <xf numFmtId="43" fontId="4" fillId="0" borderId="0" xfId="0" applyNumberFormat="1" applyFont="1" applyBorder="1" applyAlignment="1">
      <alignment horizontal="center"/>
    </xf>
    <xf numFmtId="0" fontId="23" fillId="0" borderId="0" xfId="0" applyFont="1"/>
    <xf numFmtId="43" fontId="32" fillId="0" borderId="0" xfId="1" applyFont="1" applyBorder="1"/>
    <xf numFmtId="187" fontId="32" fillId="0" borderId="0" xfId="0" applyNumberFormat="1" applyFont="1" applyBorder="1"/>
    <xf numFmtId="0" fontId="4" fillId="0" borderId="0" xfId="0" applyFont="1" applyAlignment="1">
      <alignment horizontal="left"/>
    </xf>
    <xf numFmtId="43" fontId="4" fillId="0" borderId="0" xfId="1" applyFont="1" applyAlignment="1">
      <alignment horizontal="center"/>
    </xf>
    <xf numFmtId="49" fontId="9" fillId="0" borderId="0" xfId="0" applyNumberFormat="1" applyFont="1" applyAlignment="1">
      <alignment horizontal="center"/>
    </xf>
    <xf numFmtId="0" fontId="17" fillId="0" borderId="0" xfId="0" applyFont="1" applyBorder="1" applyAlignment="1">
      <alignment horizontal="center"/>
    </xf>
    <xf numFmtId="43" fontId="7" fillId="0" borderId="0" xfId="1" applyFont="1" applyAlignment="1">
      <alignment horizontal="center" vertical="center"/>
    </xf>
    <xf numFmtId="43" fontId="16" fillId="0" borderId="0" xfId="1" applyFont="1" applyAlignment="1">
      <alignment horizontal="center" vertical="center"/>
    </xf>
    <xf numFmtId="0" fontId="24" fillId="0" borderId="0" xfId="0" applyFont="1" applyAlignment="1">
      <alignment horizontal="center"/>
    </xf>
    <xf numFmtId="43" fontId="29" fillId="0" borderId="24" xfId="0" applyNumberFormat="1" applyFont="1" applyBorder="1"/>
    <xf numFmtId="43" fontId="5" fillId="0" borderId="11" xfId="0" applyNumberFormat="1" applyFont="1" applyBorder="1" applyAlignment="1">
      <alignment horizontal="center" vertical="center"/>
    </xf>
    <xf numFmtId="0" fontId="4" fillId="0" borderId="25" xfId="0" applyFont="1" applyBorder="1" applyAlignment="1">
      <alignment horizontal="center"/>
    </xf>
    <xf numFmtId="49" fontId="20" fillId="0" borderId="0" xfId="0" applyNumberFormat="1" applyFont="1" applyAlignment="1">
      <alignment horizontal="center"/>
    </xf>
    <xf numFmtId="43" fontId="36" fillId="0" borderId="0" xfId="1" applyFont="1" applyBorder="1"/>
    <xf numFmtId="0" fontId="32" fillId="0" borderId="0" xfId="0" applyFont="1" applyBorder="1"/>
    <xf numFmtId="0" fontId="20" fillId="0" borderId="3" xfId="0" applyFont="1" applyBorder="1" applyAlignment="1">
      <alignment horizontal="center"/>
    </xf>
    <xf numFmtId="0" fontId="20" fillId="0" borderId="5" xfId="0" applyFont="1" applyBorder="1" applyAlignment="1">
      <alignment horizontal="center"/>
    </xf>
    <xf numFmtId="49" fontId="20" fillId="0" borderId="5" xfId="0" applyNumberFormat="1" applyFont="1" applyBorder="1" applyAlignment="1">
      <alignment horizontal="center"/>
    </xf>
    <xf numFmtId="49" fontId="5" fillId="0" borderId="0" xfId="0" applyNumberFormat="1" applyFont="1" applyAlignment="1">
      <alignment horizontal="center" vertical="center"/>
    </xf>
    <xf numFmtId="43" fontId="5" fillId="0" borderId="0" xfId="1" applyFont="1" applyBorder="1" applyAlignment="1">
      <alignment horizontal="center" vertical="center"/>
    </xf>
    <xf numFmtId="43" fontId="37" fillId="0" borderId="0" xfId="0" applyNumberFormat="1" applyFont="1"/>
    <xf numFmtId="0" fontId="38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7" fillId="0" borderId="0" xfId="0" applyFont="1" applyAlignment="1">
      <alignment horizontal="center"/>
    </xf>
    <xf numFmtId="43" fontId="37" fillId="0" borderId="0" xfId="0" applyNumberFormat="1" applyFont="1" applyAlignment="1"/>
    <xf numFmtId="0" fontId="40" fillId="0" borderId="0" xfId="0" applyFont="1" applyAlignment="1">
      <alignment horizontal="center"/>
    </xf>
    <xf numFmtId="43" fontId="37" fillId="0" borderId="0" xfId="1" applyFont="1" applyAlignment="1">
      <alignment horizontal="center"/>
    </xf>
    <xf numFmtId="43" fontId="39" fillId="0" borderId="0" xfId="1" applyFont="1" applyAlignment="1">
      <alignment horizontal="center" vertical="center"/>
    </xf>
    <xf numFmtId="43" fontId="37" fillId="0" borderId="0" xfId="1" applyFont="1"/>
    <xf numFmtId="43" fontId="39" fillId="0" borderId="0" xfId="0" applyNumberFormat="1" applyFont="1" applyAlignment="1">
      <alignment horizontal="center" vertical="center"/>
    </xf>
    <xf numFmtId="43" fontId="11" fillId="0" borderId="0" xfId="1" applyFont="1" applyAlignment="1">
      <alignment horizontal="left"/>
    </xf>
    <xf numFmtId="43" fontId="10" fillId="0" borderId="0" xfId="1" applyFont="1" applyAlignment="1">
      <alignment horizontal="left"/>
    </xf>
    <xf numFmtId="49" fontId="4" fillId="0" borderId="25" xfId="0" applyNumberFormat="1" applyFont="1" applyBorder="1" applyAlignment="1">
      <alignment horizontal="center"/>
    </xf>
    <xf numFmtId="0" fontId="13" fillId="0" borderId="12" xfId="0" applyFont="1" applyBorder="1" applyAlignment="1">
      <alignment horizontal="left"/>
    </xf>
    <xf numFmtId="0" fontId="22" fillId="0" borderId="0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42" fillId="0" borderId="0" xfId="0" applyFont="1"/>
    <xf numFmtId="0" fontId="12" fillId="0" borderId="0" xfId="0" applyFont="1" applyBorder="1" applyAlignment="1">
      <alignment horizontal="left"/>
    </xf>
    <xf numFmtId="0" fontId="13" fillId="0" borderId="15" xfId="0" applyFont="1" applyBorder="1"/>
    <xf numFmtId="0" fontId="8" fillId="0" borderId="12" xfId="0" applyFont="1" applyBorder="1" applyAlignment="1">
      <alignment horizontal="center"/>
    </xf>
    <xf numFmtId="0" fontId="14" fillId="0" borderId="0" xfId="0" applyFont="1" applyBorder="1" applyAlignment="1">
      <alignment horizontal="left"/>
    </xf>
    <xf numFmtId="0" fontId="26" fillId="0" borderId="0" xfId="0" applyFont="1" applyBorder="1" applyAlignment="1">
      <alignment horizontal="left"/>
    </xf>
    <xf numFmtId="0" fontId="10" fillId="0" borderId="15" xfId="0" applyFont="1" applyBorder="1"/>
    <xf numFmtId="0" fontId="13" fillId="0" borderId="24" xfId="0" applyFont="1" applyBorder="1" applyAlignment="1">
      <alignment horizontal="center"/>
    </xf>
    <xf numFmtId="43" fontId="4" fillId="0" borderId="3" xfId="0" applyNumberFormat="1" applyFont="1" applyBorder="1"/>
    <xf numFmtId="43" fontId="16" fillId="0" borderId="17" xfId="1" applyFont="1" applyBorder="1"/>
    <xf numFmtId="0" fontId="43" fillId="0" borderId="0" xfId="0" applyFont="1"/>
    <xf numFmtId="0" fontId="7" fillId="0" borderId="26" xfId="0" applyFont="1" applyBorder="1"/>
    <xf numFmtId="43" fontId="44" fillId="0" borderId="0" xfId="1" applyFont="1"/>
    <xf numFmtId="43" fontId="7" fillId="0" borderId="7" xfId="1" applyFont="1" applyBorder="1"/>
    <xf numFmtId="43" fontId="7" fillId="0" borderId="12" xfId="1" applyFont="1" applyBorder="1"/>
    <xf numFmtId="43" fontId="7" fillId="0" borderId="16" xfId="1" applyFont="1" applyBorder="1"/>
    <xf numFmtId="187" fontId="4" fillId="0" borderId="0" xfId="0" applyNumberFormat="1" applyFont="1"/>
    <xf numFmtId="0" fontId="32" fillId="0" borderId="0" xfId="0" applyFont="1"/>
    <xf numFmtId="187" fontId="20" fillId="0" borderId="0" xfId="0" applyNumberFormat="1" applyFont="1"/>
    <xf numFmtId="49" fontId="20" fillId="0" borderId="22" xfId="0" applyNumberFormat="1" applyFont="1" applyBorder="1" applyAlignment="1">
      <alignment horizontal="center"/>
    </xf>
    <xf numFmtId="0" fontId="10" fillId="0" borderId="0" xfId="0" quotePrefix="1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43" fontId="10" fillId="0" borderId="0" xfId="0" applyNumberFormat="1" applyFont="1" applyBorder="1" applyAlignment="1">
      <alignment horizontal="left"/>
    </xf>
    <xf numFmtId="43" fontId="10" fillId="0" borderId="23" xfId="0" applyNumberFormat="1" applyFont="1" applyBorder="1"/>
    <xf numFmtId="0" fontId="10" fillId="0" borderId="8" xfId="0" applyFont="1" applyBorder="1"/>
    <xf numFmtId="0" fontId="10" fillId="0" borderId="12" xfId="0" applyFont="1" applyBorder="1" applyAlignment="1">
      <alignment horizontal="center"/>
    </xf>
    <xf numFmtId="0" fontId="10" fillId="0" borderId="26" xfId="0" applyFont="1" applyBorder="1"/>
    <xf numFmtId="0" fontId="22" fillId="0" borderId="10" xfId="0" applyFont="1" applyBorder="1" applyAlignment="1">
      <alignment horizontal="center"/>
    </xf>
    <xf numFmtId="0" fontId="20" fillId="0" borderId="15" xfId="0" applyFont="1" applyBorder="1" applyAlignment="1">
      <alignment horizontal="left" indent="1"/>
    </xf>
    <xf numFmtId="0" fontId="11" fillId="0" borderId="10" xfId="0" applyFont="1" applyBorder="1" applyAlignment="1">
      <alignment horizontal="center"/>
    </xf>
    <xf numFmtId="0" fontId="13" fillId="0" borderId="26" xfId="0" applyFont="1" applyBorder="1"/>
    <xf numFmtId="187" fontId="40" fillId="0" borderId="0" xfId="0" applyNumberFormat="1" applyFont="1" applyAlignment="1">
      <alignment horizontal="center"/>
    </xf>
    <xf numFmtId="43" fontId="5" fillId="0" borderId="2" xfId="1" applyFont="1" applyFill="1" applyBorder="1"/>
    <xf numFmtId="43" fontId="4" fillId="0" borderId="4" xfId="1" applyFont="1" applyFill="1" applyBorder="1"/>
    <xf numFmtId="43" fontId="4" fillId="0" borderId="18" xfId="0" applyNumberFormat="1" applyFont="1" applyFill="1" applyBorder="1"/>
    <xf numFmtId="43" fontId="5" fillId="0" borderId="8" xfId="0" applyNumberFormat="1" applyFont="1" applyFill="1" applyBorder="1"/>
    <xf numFmtId="0" fontId="7" fillId="0" borderId="8" xfId="0" applyFont="1" applyBorder="1" applyAlignment="1">
      <alignment horizontal="center" vertical="center"/>
    </xf>
    <xf numFmtId="0" fontId="7" fillId="0" borderId="9" xfId="0" applyFont="1" applyBorder="1"/>
    <xf numFmtId="49" fontId="7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7" fillId="0" borderId="8" xfId="0" applyFont="1" applyBorder="1"/>
    <xf numFmtId="0" fontId="7" fillId="0" borderId="15" xfId="0" applyFont="1" applyBorder="1"/>
    <xf numFmtId="0" fontId="9" fillId="0" borderId="15" xfId="0" applyFont="1" applyBorder="1" applyAlignment="1">
      <alignment horizontal="center"/>
    </xf>
    <xf numFmtId="0" fontId="3" fillId="0" borderId="0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43" fontId="3" fillId="0" borderId="0" xfId="1" applyFont="1" applyAlignment="1">
      <alignment vertical="center"/>
    </xf>
    <xf numFmtId="0" fontId="3" fillId="0" borderId="0" xfId="0" applyFont="1" applyAlignment="1">
      <alignment vertical="center"/>
    </xf>
    <xf numFmtId="0" fontId="25" fillId="0" borderId="0" xfId="0" applyFont="1" applyBorder="1" applyAlignment="1">
      <alignment vertical="center"/>
    </xf>
    <xf numFmtId="0" fontId="45" fillId="0" borderId="0" xfId="0" applyFont="1" applyBorder="1" applyAlignment="1">
      <alignment vertical="center"/>
    </xf>
    <xf numFmtId="43" fontId="25" fillId="0" borderId="0" xfId="1" applyFont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right" vertical="center"/>
    </xf>
    <xf numFmtId="0" fontId="33" fillId="0" borderId="0" xfId="0" applyFont="1" applyBorder="1"/>
    <xf numFmtId="43" fontId="33" fillId="0" borderId="0" xfId="1" applyFont="1" applyBorder="1"/>
    <xf numFmtId="43" fontId="33" fillId="0" borderId="0" xfId="1" applyFont="1"/>
    <xf numFmtId="0" fontId="33" fillId="0" borderId="0" xfId="0" applyFont="1"/>
    <xf numFmtId="43" fontId="27" fillId="0" borderId="10" xfId="0" applyNumberFormat="1" applyFont="1" applyBorder="1"/>
    <xf numFmtId="43" fontId="5" fillId="0" borderId="0" xfId="0" applyNumberFormat="1" applyFont="1" applyAlignment="1">
      <alignment horizontal="center"/>
    </xf>
    <xf numFmtId="0" fontId="11" fillId="0" borderId="14" xfId="0" applyFont="1" applyBorder="1" applyAlignment="1">
      <alignment horizontal="center"/>
    </xf>
    <xf numFmtId="187" fontId="13" fillId="0" borderId="0" xfId="0" applyNumberFormat="1" applyFont="1" applyBorder="1" applyAlignment="1">
      <alignment horizontal="left"/>
    </xf>
    <xf numFmtId="43" fontId="20" fillId="0" borderId="19" xfId="1" applyFont="1" applyBorder="1" applyAlignment="1">
      <alignment horizontal="center"/>
    </xf>
    <xf numFmtId="0" fontId="13" fillId="0" borderId="4" xfId="0" applyFont="1" applyBorder="1"/>
    <xf numFmtId="40" fontId="20" fillId="0" borderId="4" xfId="0" applyNumberFormat="1" applyFont="1" applyBorder="1" applyAlignment="1">
      <alignment horizontal="right"/>
    </xf>
    <xf numFmtId="43" fontId="13" fillId="0" borderId="8" xfId="1" applyFont="1" applyBorder="1" applyAlignment="1">
      <alignment horizontal="right" vertical="center"/>
    </xf>
    <xf numFmtId="187" fontId="16" fillId="0" borderId="0" xfId="0" applyNumberFormat="1" applyFont="1"/>
    <xf numFmtId="0" fontId="28" fillId="0" borderId="0" xfId="0" applyFont="1" applyAlignment="1">
      <alignment horizontal="center"/>
    </xf>
    <xf numFmtId="49" fontId="4" fillId="0" borderId="19" xfId="1" applyNumberFormat="1" applyFont="1" applyBorder="1" applyAlignment="1">
      <alignment horizontal="center"/>
    </xf>
    <xf numFmtId="187" fontId="4" fillId="0" borderId="0" xfId="0" applyNumberFormat="1" applyFont="1" applyBorder="1"/>
    <xf numFmtId="43" fontId="10" fillId="0" borderId="0" xfId="0" applyNumberFormat="1" applyFont="1" applyBorder="1"/>
    <xf numFmtId="187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21" fillId="0" borderId="19" xfId="0" applyFont="1" applyBorder="1" applyAlignment="1">
      <alignment horizontal="center"/>
    </xf>
    <xf numFmtId="43" fontId="4" fillId="0" borderId="0" xfId="1" applyFont="1" applyAlignment="1">
      <alignment horizontal="right"/>
    </xf>
    <xf numFmtId="43" fontId="10" fillId="0" borderId="18" xfId="0" applyNumberFormat="1" applyFont="1" applyBorder="1"/>
    <xf numFmtId="0" fontId="12" fillId="0" borderId="26" xfId="0" applyFont="1" applyBorder="1" applyAlignment="1">
      <alignment horizontal="left"/>
    </xf>
    <xf numFmtId="0" fontId="10" fillId="0" borderId="4" xfId="0" applyFont="1" applyBorder="1" applyAlignment="1">
      <alignment horizontal="center"/>
    </xf>
    <xf numFmtId="0" fontId="34" fillId="0" borderId="0" xfId="0" applyFont="1"/>
    <xf numFmtId="49" fontId="5" fillId="0" borderId="1" xfId="0" applyNumberFormat="1" applyFont="1" applyBorder="1" applyAlignment="1"/>
    <xf numFmtId="43" fontId="7" fillId="0" borderId="0" xfId="0" applyNumberFormat="1" applyFont="1" applyBorder="1"/>
    <xf numFmtId="43" fontId="9" fillId="0" borderId="0" xfId="1" applyFont="1" applyAlignment="1"/>
    <xf numFmtId="0" fontId="10" fillId="0" borderId="24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41" fillId="0" borderId="0" xfId="0" applyFont="1" applyAlignment="1">
      <alignment horizontal="center"/>
    </xf>
    <xf numFmtId="43" fontId="20" fillId="0" borderId="0" xfId="0" applyNumberFormat="1" applyFont="1"/>
    <xf numFmtId="43" fontId="47" fillId="0" borderId="0" xfId="1" applyFont="1"/>
    <xf numFmtId="43" fontId="4" fillId="0" borderId="4" xfId="0" applyNumberFormat="1" applyFont="1" applyBorder="1"/>
    <xf numFmtId="0" fontId="20" fillId="0" borderId="0" xfId="0" applyFont="1" applyBorder="1" applyAlignment="1"/>
    <xf numFmtId="43" fontId="13" fillId="0" borderId="15" xfId="0" applyNumberFormat="1" applyFont="1" applyBorder="1"/>
    <xf numFmtId="0" fontId="13" fillId="0" borderId="8" xfId="0" applyFont="1" applyBorder="1"/>
    <xf numFmtId="0" fontId="7" fillId="0" borderId="6" xfId="0" applyFont="1" applyBorder="1" applyAlignment="1">
      <alignment horizontal="left"/>
    </xf>
    <xf numFmtId="43" fontId="10" fillId="0" borderId="16" xfId="1" applyFont="1" applyBorder="1"/>
    <xf numFmtId="43" fontId="20" fillId="0" borderId="0" xfId="1" applyFont="1" applyAlignment="1">
      <alignment horizontal="left"/>
    </xf>
    <xf numFmtId="43" fontId="13" fillId="0" borderId="0" xfId="1" applyFont="1"/>
    <xf numFmtId="43" fontId="10" fillId="0" borderId="0" xfId="0" applyNumberFormat="1" applyFont="1"/>
    <xf numFmtId="187" fontId="35" fillId="0" borderId="14" xfId="0" applyNumberFormat="1" applyFont="1" applyBorder="1"/>
    <xf numFmtId="43" fontId="20" fillId="0" borderId="23" xfId="1" applyFont="1" applyBorder="1"/>
    <xf numFmtId="0" fontId="20" fillId="0" borderId="23" xfId="0" applyFont="1" applyBorder="1"/>
    <xf numFmtId="0" fontId="20" fillId="0" borderId="25" xfId="0" applyFont="1" applyBorder="1"/>
    <xf numFmtId="0" fontId="13" fillId="0" borderId="0" xfId="0" applyFont="1" applyAlignment="1">
      <alignment horizontal="center"/>
    </xf>
    <xf numFmtId="43" fontId="4" fillId="0" borderId="23" xfId="0" applyNumberFormat="1" applyFont="1" applyBorder="1" applyAlignment="1">
      <alignment horizontal="center"/>
    </xf>
    <xf numFmtId="187" fontId="10" fillId="0" borderId="0" xfId="0" applyNumberFormat="1" applyFont="1"/>
    <xf numFmtId="43" fontId="10" fillId="0" borderId="0" xfId="1" applyFont="1"/>
    <xf numFmtId="43" fontId="7" fillId="0" borderId="0" xfId="1" applyFont="1" applyAlignment="1"/>
    <xf numFmtId="0" fontId="6" fillId="0" borderId="27" xfId="0" applyFont="1" applyBorder="1" applyAlignment="1">
      <alignment horizontal="center"/>
    </xf>
    <xf numFmtId="0" fontId="13" fillId="0" borderId="0" xfId="0" applyFont="1" applyAlignment="1">
      <alignment horizontal="left"/>
    </xf>
    <xf numFmtId="0" fontId="4" fillId="0" borderId="1" xfId="0" applyFont="1" applyBorder="1" applyAlignment="1">
      <alignment horizontal="center"/>
    </xf>
    <xf numFmtId="0" fontId="9" fillId="0" borderId="0" xfId="0" applyFont="1" applyAlignment="1">
      <alignment horizontal="right"/>
    </xf>
    <xf numFmtId="0" fontId="11" fillId="0" borderId="0" xfId="0" applyFont="1"/>
    <xf numFmtId="0" fontId="6" fillId="0" borderId="2" xfId="0" applyFont="1" applyBorder="1" applyAlignment="1">
      <alignment horizontal="center"/>
    </xf>
    <xf numFmtId="0" fontId="20" fillId="0" borderId="21" xfId="0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20" fillId="0" borderId="12" xfId="0" applyFont="1" applyBorder="1"/>
    <xf numFmtId="43" fontId="4" fillId="0" borderId="23" xfId="0" applyNumberFormat="1" applyFont="1" applyBorder="1"/>
    <xf numFmtId="43" fontId="4" fillId="0" borderId="16" xfId="0" applyNumberFormat="1" applyFont="1" applyBorder="1"/>
    <xf numFmtId="43" fontId="46" fillId="0" borderId="0" xfId="1" applyFont="1" applyAlignment="1"/>
    <xf numFmtId="187" fontId="4" fillId="0" borderId="23" xfId="0" applyNumberFormat="1" applyFont="1" applyBorder="1"/>
    <xf numFmtId="43" fontId="20" fillId="0" borderId="19" xfId="1" applyFont="1" applyBorder="1"/>
    <xf numFmtId="43" fontId="33" fillId="0" borderId="0" xfId="1" applyFont="1" applyAlignment="1">
      <alignment horizontal="center"/>
    </xf>
    <xf numFmtId="43" fontId="7" fillId="0" borderId="4" xfId="1" applyNumberFormat="1" applyFont="1" applyBorder="1"/>
    <xf numFmtId="0" fontId="4" fillId="0" borderId="25" xfId="0" applyNumberFormat="1" applyFont="1" applyBorder="1" applyAlignment="1">
      <alignment horizontal="center"/>
    </xf>
    <xf numFmtId="190" fontId="13" fillId="0" borderId="0" xfId="0" applyNumberFormat="1" applyFont="1"/>
    <xf numFmtId="0" fontId="11" fillId="0" borderId="0" xfId="0" applyFont="1" applyAlignment="1">
      <alignment horizontal="center"/>
    </xf>
    <xf numFmtId="0" fontId="9" fillId="0" borderId="0" xfId="0" applyFont="1" applyAlignment="1"/>
    <xf numFmtId="43" fontId="10" fillId="0" borderId="0" xfId="1" applyFont="1" applyAlignment="1"/>
    <xf numFmtId="43" fontId="10" fillId="0" borderId="0" xfId="1" applyFont="1" applyAlignment="1">
      <alignment horizontal="center"/>
    </xf>
    <xf numFmtId="43" fontId="35" fillId="0" borderId="0" xfId="0" applyNumberFormat="1" applyFont="1"/>
    <xf numFmtId="43" fontId="10" fillId="0" borderId="23" xfId="1" applyFont="1" applyBorder="1"/>
    <xf numFmtId="0" fontId="5" fillId="0" borderId="8" xfId="0" applyFont="1" applyBorder="1" applyAlignment="1"/>
    <xf numFmtId="0" fontId="2" fillId="0" borderId="8" xfId="0" applyFont="1" applyBorder="1" applyAlignment="1">
      <alignment horizontal="center"/>
    </xf>
    <xf numFmtId="49" fontId="5" fillId="0" borderId="8" xfId="0" applyNumberFormat="1" applyFont="1" applyBorder="1" applyAlignment="1">
      <alignment horizontal="center"/>
    </xf>
    <xf numFmtId="43" fontId="5" fillId="0" borderId="9" xfId="0" applyNumberFormat="1" applyFont="1" applyBorder="1"/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 vertical="center"/>
    </xf>
    <xf numFmtId="43" fontId="5" fillId="0" borderId="8" xfId="0" applyNumberFormat="1" applyFont="1" applyBorder="1"/>
    <xf numFmtId="43" fontId="20" fillId="0" borderId="0" xfId="1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43" fontId="19" fillId="0" borderId="0" xfId="1" applyFont="1" applyBorder="1"/>
    <xf numFmtId="43" fontId="13" fillId="0" borderId="0" xfId="1" applyFont="1" applyBorder="1" applyAlignment="1">
      <alignment horizontal="center"/>
    </xf>
    <xf numFmtId="43" fontId="51" fillId="0" borderId="0" xfId="1" applyFont="1"/>
    <xf numFmtId="43" fontId="52" fillId="0" borderId="0" xfId="1" applyFont="1"/>
    <xf numFmtId="0" fontId="9" fillId="0" borderId="14" xfId="0" applyFont="1" applyBorder="1" applyAlignment="1"/>
    <xf numFmtId="43" fontId="20" fillId="0" borderId="15" xfId="0" applyNumberFormat="1" applyFont="1" applyBorder="1"/>
    <xf numFmtId="43" fontId="20" fillId="0" borderId="0" xfId="0" applyNumberFormat="1" applyFont="1" applyBorder="1"/>
    <xf numFmtId="43" fontId="13" fillId="0" borderId="0" xfId="1" applyFont="1" applyBorder="1" applyAlignment="1">
      <alignment horizontal="center" vertical="center"/>
    </xf>
    <xf numFmtId="43" fontId="7" fillId="0" borderId="4" xfId="1" applyFont="1" applyBorder="1" applyAlignment="1">
      <alignment vertical="center"/>
    </xf>
    <xf numFmtId="49" fontId="5" fillId="0" borderId="28" xfId="0" applyNumberFormat="1" applyFont="1" applyBorder="1" applyAlignment="1">
      <alignment horizontal="center"/>
    </xf>
    <xf numFmtId="49" fontId="5" fillId="0" borderId="29" xfId="0" applyNumberFormat="1" applyFont="1" applyBorder="1" applyAlignment="1">
      <alignment horizontal="center"/>
    </xf>
    <xf numFmtId="43" fontId="5" fillId="0" borderId="30" xfId="1" applyFont="1" applyBorder="1" applyAlignment="1">
      <alignment horizontal="center"/>
    </xf>
    <xf numFmtId="43" fontId="5" fillId="0" borderId="29" xfId="1" applyFont="1" applyBorder="1" applyAlignment="1">
      <alignment horizontal="center"/>
    </xf>
    <xf numFmtId="49" fontId="4" fillId="0" borderId="0" xfId="0" applyNumberFormat="1" applyFont="1" applyBorder="1" applyAlignment="1">
      <alignment horizontal="left" indent="2"/>
    </xf>
    <xf numFmtId="49" fontId="5" fillId="0" borderId="0" xfId="0" applyNumberFormat="1" applyFont="1" applyBorder="1" applyAlignment="1">
      <alignment horizontal="center"/>
    </xf>
    <xf numFmtId="49" fontId="5" fillId="0" borderId="7" xfId="0" applyNumberFormat="1" applyFont="1" applyBorder="1" applyAlignment="1">
      <alignment horizontal="center"/>
    </xf>
    <xf numFmtId="43" fontId="5" fillId="0" borderId="7" xfId="1" applyFont="1" applyBorder="1" applyAlignment="1">
      <alignment horizontal="center"/>
    </xf>
    <xf numFmtId="0" fontId="37" fillId="0" borderId="0" xfId="0" applyFont="1"/>
    <xf numFmtId="187" fontId="40" fillId="0" borderId="0" xfId="0" applyNumberFormat="1" applyFont="1"/>
    <xf numFmtId="0" fontId="40" fillId="0" borderId="0" xfId="0" applyFont="1"/>
    <xf numFmtId="49" fontId="4" fillId="0" borderId="12" xfId="0" applyNumberFormat="1" applyFont="1" applyBorder="1" applyAlignment="1">
      <alignment horizontal="left" indent="2"/>
    </xf>
    <xf numFmtId="43" fontId="40" fillId="0" borderId="0" xfId="0" applyNumberFormat="1" applyFont="1"/>
    <xf numFmtId="187" fontId="37" fillId="0" borderId="0" xfId="0" applyNumberFormat="1" applyFont="1"/>
    <xf numFmtId="49" fontId="5" fillId="0" borderId="0" xfId="0" applyNumberFormat="1" applyFont="1" applyBorder="1" applyAlignment="1">
      <alignment horizontal="center" vertical="center"/>
    </xf>
    <xf numFmtId="49" fontId="5" fillId="0" borderId="26" xfId="0" applyNumberFormat="1" applyFont="1" applyBorder="1" applyAlignment="1">
      <alignment horizontal="center" vertical="center"/>
    </xf>
    <xf numFmtId="43" fontId="5" fillId="0" borderId="18" xfId="1" applyFont="1" applyBorder="1" applyAlignment="1">
      <alignment horizontal="center" vertical="center"/>
    </xf>
    <xf numFmtId="43" fontId="5" fillId="0" borderId="31" xfId="1" applyFont="1" applyBorder="1" applyAlignment="1">
      <alignment horizontal="center" vertical="center"/>
    </xf>
    <xf numFmtId="187" fontId="37" fillId="0" borderId="0" xfId="0" applyNumberFormat="1" applyFont="1" applyBorder="1"/>
    <xf numFmtId="43" fontId="40" fillId="0" borderId="0" xfId="1" applyFont="1" applyAlignment="1"/>
    <xf numFmtId="49" fontId="4" fillId="0" borderId="0" xfId="0" applyNumberFormat="1" applyFont="1" applyAlignment="1">
      <alignment horizontal="left" indent="4"/>
    </xf>
    <xf numFmtId="49" fontId="4" fillId="0" borderId="0" xfId="0" applyNumberFormat="1" applyFont="1" applyBorder="1" applyAlignment="1">
      <alignment horizontal="left" indent="4"/>
    </xf>
    <xf numFmtId="43" fontId="20" fillId="0" borderId="23" xfId="0" applyNumberFormat="1" applyFont="1" applyBorder="1" applyAlignment="1">
      <alignment vertical="center"/>
    </xf>
    <xf numFmtId="43" fontId="13" fillId="0" borderId="7" xfId="1" applyFont="1" applyBorder="1" applyAlignment="1">
      <alignment vertical="center"/>
    </xf>
    <xf numFmtId="43" fontId="9" fillId="0" borderId="8" xfId="1" applyFont="1" applyBorder="1"/>
    <xf numFmtId="49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0" fillId="0" borderId="0" xfId="0" applyFont="1" applyAlignment="1">
      <alignment horizontal="right"/>
    </xf>
    <xf numFmtId="43" fontId="53" fillId="0" borderId="0" xfId="1" applyFont="1"/>
    <xf numFmtId="0" fontId="53" fillId="0" borderId="0" xfId="0" applyFont="1"/>
    <xf numFmtId="43" fontId="10" fillId="0" borderId="0" xfId="0" applyNumberFormat="1" applyFont="1" applyAlignment="1">
      <alignment horizontal="center"/>
    </xf>
    <xf numFmtId="43" fontId="9" fillId="0" borderId="0" xfId="1" applyFont="1" applyBorder="1" applyAlignment="1"/>
    <xf numFmtId="43" fontId="3" fillId="0" borderId="0" xfId="0" applyNumberFormat="1" applyFont="1"/>
    <xf numFmtId="0" fontId="20" fillId="0" borderId="0" xfId="0" applyFont="1" applyAlignment="1">
      <alignment horizontal="right"/>
    </xf>
    <xf numFmtId="8" fontId="9" fillId="0" borderId="0" xfId="0" applyNumberFormat="1" applyFont="1" applyAlignment="1">
      <alignment horizontal="center"/>
    </xf>
    <xf numFmtId="43" fontId="48" fillId="0" borderId="0" xfId="0" applyNumberFormat="1" applyFont="1" applyAlignment="1">
      <alignment horizontal="center"/>
    </xf>
    <xf numFmtId="43" fontId="4" fillId="0" borderId="4" xfId="1" applyFont="1" applyBorder="1" applyAlignment="1">
      <alignment horizontal="center"/>
    </xf>
    <xf numFmtId="0" fontId="48" fillId="0" borderId="0" xfId="0" applyFont="1"/>
    <xf numFmtId="0" fontId="48" fillId="0" borderId="0" xfId="0" applyFont="1" applyAlignment="1">
      <alignment horizontal="left" vertical="center"/>
    </xf>
    <xf numFmtId="43" fontId="48" fillId="0" borderId="0" xfId="1" applyFont="1" applyBorder="1"/>
    <xf numFmtId="43" fontId="9" fillId="0" borderId="0" xfId="0" applyNumberFormat="1" applyFont="1" applyBorder="1"/>
    <xf numFmtId="43" fontId="48" fillId="0" borderId="0" xfId="1" applyFont="1" applyAlignment="1"/>
    <xf numFmtId="43" fontId="48" fillId="0" borderId="0" xfId="1" applyFont="1"/>
    <xf numFmtId="43" fontId="48" fillId="0" borderId="0" xfId="1" applyFont="1" applyAlignment="1">
      <alignment horizontal="left"/>
    </xf>
    <xf numFmtId="43" fontId="48" fillId="0" borderId="0" xfId="0" applyNumberFormat="1" applyFont="1" applyBorder="1"/>
    <xf numFmtId="0" fontId="9" fillId="0" borderId="0" xfId="0" applyFont="1" applyAlignment="1">
      <alignment horizontal="left" vertical="center"/>
    </xf>
    <xf numFmtId="43" fontId="7" fillId="0" borderId="4" xfId="1" applyFont="1" applyBorder="1" applyAlignment="1">
      <alignment horizontal="right" vertical="center"/>
    </xf>
    <xf numFmtId="43" fontId="7" fillId="0" borderId="0" xfId="1" applyFont="1" applyAlignment="1">
      <alignment horizontal="left" indent="1"/>
    </xf>
    <xf numFmtId="43" fontId="5" fillId="0" borderId="0" xfId="1" applyFont="1" applyBorder="1" applyAlignment="1">
      <alignment horizontal="center"/>
    </xf>
    <xf numFmtId="0" fontId="22" fillId="0" borderId="0" xfId="0" applyFont="1" applyBorder="1" applyAlignment="1"/>
    <xf numFmtId="0" fontId="8" fillId="0" borderId="24" xfId="0" applyFont="1" applyBorder="1" applyAlignment="1">
      <alignment horizontal="center"/>
    </xf>
    <xf numFmtId="43" fontId="53" fillId="0" borderId="0" xfId="0" applyNumberFormat="1" applyFont="1"/>
    <xf numFmtId="0" fontId="35" fillId="0" borderId="0" xfId="0" applyFont="1" applyAlignment="1">
      <alignment horizontal="left"/>
    </xf>
    <xf numFmtId="0" fontId="37" fillId="0" borderId="16" xfId="0" applyFont="1" applyBorder="1"/>
    <xf numFmtId="0" fontId="5" fillId="0" borderId="0" xfId="0" applyFont="1" applyAlignment="1">
      <alignment horizontal="center"/>
    </xf>
    <xf numFmtId="43" fontId="54" fillId="0" borderId="0" xfId="1" applyFont="1" applyBorder="1"/>
    <xf numFmtId="43" fontId="55" fillId="0" borderId="0" xfId="1" applyFont="1" applyAlignment="1">
      <alignment horizontal="center"/>
    </xf>
    <xf numFmtId="43" fontId="56" fillId="0" borderId="0" xfId="1" applyFont="1" applyBorder="1"/>
    <xf numFmtId="43" fontId="56" fillId="0" borderId="0" xfId="1" applyFont="1" applyBorder="1" applyAlignment="1">
      <alignment horizontal="center"/>
    </xf>
    <xf numFmtId="43" fontId="55" fillId="0" borderId="0" xfId="1" applyFont="1"/>
    <xf numFmtId="0" fontId="55" fillId="0" borderId="0" xfId="0" applyFont="1"/>
    <xf numFmtId="0" fontId="10" fillId="0" borderId="9" xfId="0" applyFont="1" applyBorder="1"/>
    <xf numFmtId="43" fontId="10" fillId="0" borderId="11" xfId="0" applyNumberFormat="1" applyFont="1" applyBorder="1"/>
    <xf numFmtId="43" fontId="10" fillId="0" borderId="8" xfId="0" applyNumberFormat="1" applyFont="1" applyBorder="1"/>
    <xf numFmtId="43" fontId="10" fillId="0" borderId="4" xfId="0" applyNumberFormat="1" applyFont="1" applyBorder="1"/>
    <xf numFmtId="43" fontId="10" fillId="0" borderId="12" xfId="0" applyNumberFormat="1" applyFont="1" applyBorder="1"/>
    <xf numFmtId="43" fontId="7" fillId="3" borderId="7" xfId="0" applyNumberFormat="1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43" fontId="16" fillId="0" borderId="7" xfId="1" applyFont="1" applyBorder="1"/>
    <xf numFmtId="43" fontId="32" fillId="0" borderId="0" xfId="0" applyNumberFormat="1" applyFont="1" applyBorder="1"/>
    <xf numFmtId="0" fontId="20" fillId="0" borderId="19" xfId="0" applyFont="1" applyBorder="1" applyAlignment="1">
      <alignment horizontal="left"/>
    </xf>
    <xf numFmtId="0" fontId="10" fillId="0" borderId="3" xfId="0" applyFont="1" applyBorder="1" applyAlignment="1">
      <alignment horizontal="center"/>
    </xf>
    <xf numFmtId="43" fontId="13" fillId="0" borderId="8" xfId="1" applyFont="1" applyBorder="1" applyAlignment="1">
      <alignment vertical="center"/>
    </xf>
    <xf numFmtId="43" fontId="57" fillId="0" borderId="0" xfId="1" applyFont="1"/>
    <xf numFmtId="0" fontId="13" fillId="0" borderId="9" xfId="0" applyFont="1" applyBorder="1"/>
    <xf numFmtId="0" fontId="13" fillId="0" borderId="10" xfId="0" applyFont="1" applyBorder="1"/>
    <xf numFmtId="0" fontId="13" fillId="0" borderId="11" xfId="0" applyFont="1" applyBorder="1"/>
    <xf numFmtId="43" fontId="13" fillId="0" borderId="14" xfId="0" applyNumberFormat="1" applyFont="1" applyBorder="1"/>
    <xf numFmtId="43" fontId="13" fillId="0" borderId="8" xfId="0" applyNumberFormat="1" applyFont="1" applyBorder="1" applyAlignment="1">
      <alignment horizontal="left"/>
    </xf>
    <xf numFmtId="43" fontId="57" fillId="0" borderId="4" xfId="1" applyFont="1" applyBorder="1"/>
    <xf numFmtId="0" fontId="13" fillId="0" borderId="3" xfId="0" applyFont="1" applyBorder="1"/>
    <xf numFmtId="43" fontId="13" fillId="0" borderId="4" xfId="1" applyFont="1" applyBorder="1"/>
    <xf numFmtId="43" fontId="13" fillId="0" borderId="16" xfId="0" applyNumberFormat="1" applyFont="1" applyBorder="1"/>
    <xf numFmtId="43" fontId="7" fillId="4" borderId="4" xfId="1" applyFont="1" applyFill="1" applyBorder="1"/>
    <xf numFmtId="43" fontId="7" fillId="4" borderId="7" xfId="1" quotePrefix="1" applyFont="1" applyFill="1" applyBorder="1" applyAlignment="1">
      <alignment horizontal="right"/>
    </xf>
    <xf numFmtId="43" fontId="7" fillId="4" borderId="12" xfId="1" applyFont="1" applyFill="1" applyBorder="1" applyAlignment="1">
      <alignment horizontal="right"/>
    </xf>
    <xf numFmtId="0" fontId="7" fillId="0" borderId="0" xfId="0" applyFont="1" applyAlignment="1">
      <alignment horizontal="left" vertical="center"/>
    </xf>
    <xf numFmtId="0" fontId="10" fillId="0" borderId="7" xfId="0" quotePrefix="1" applyFont="1" applyBorder="1" applyAlignment="1">
      <alignment horizontal="center"/>
    </xf>
    <xf numFmtId="43" fontId="10" fillId="0" borderId="12" xfId="1" applyFont="1" applyBorder="1"/>
    <xf numFmtId="188" fontId="7" fillId="0" borderId="18" xfId="1" applyNumberFormat="1" applyFont="1" applyBorder="1" applyAlignment="1">
      <alignment horizontal="right"/>
    </xf>
    <xf numFmtId="43" fontId="52" fillId="0" borderId="4" xfId="1" applyFont="1" applyBorder="1"/>
    <xf numFmtId="43" fontId="57" fillId="0" borderId="4" xfId="1" applyFont="1" applyBorder="1" applyAlignment="1">
      <alignment horizontal="center" vertical="center"/>
    </xf>
    <xf numFmtId="43" fontId="57" fillId="4" borderId="4" xfId="1" applyFont="1" applyFill="1" applyBorder="1"/>
    <xf numFmtId="49" fontId="20" fillId="0" borderId="0" xfId="0" applyNumberFormat="1" applyFont="1" applyAlignment="1">
      <alignment horizontal="center"/>
    </xf>
    <xf numFmtId="15" fontId="20" fillId="0" borderId="19" xfId="0" applyNumberFormat="1" applyFont="1" applyBorder="1"/>
    <xf numFmtId="0" fontId="11" fillId="0" borderId="6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10" fillId="0" borderId="15" xfId="0" applyFont="1" applyBorder="1" applyAlignment="1">
      <alignment horizontal="left"/>
    </xf>
    <xf numFmtId="0" fontId="8" fillId="0" borderId="26" xfId="0" applyFont="1" applyBorder="1" applyAlignment="1">
      <alignment horizontal="center"/>
    </xf>
    <xf numFmtId="49" fontId="5" fillId="0" borderId="0" xfId="0" applyNumberFormat="1" applyFont="1" applyAlignment="1">
      <alignment horizontal="center"/>
    </xf>
    <xf numFmtId="43" fontId="4" fillId="0" borderId="0" xfId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49" fontId="20" fillId="0" borderId="0" xfId="0" applyNumberFormat="1" applyFont="1" applyAlignment="1">
      <alignment horizontal="center"/>
    </xf>
    <xf numFmtId="43" fontId="20" fillId="0" borderId="0" xfId="1" applyFont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0" fillId="0" borderId="7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20" fillId="0" borderId="0" xfId="0" applyFont="1" applyAlignment="1">
      <alignment horizontal="center"/>
    </xf>
    <xf numFmtId="43" fontId="20" fillId="0" borderId="0" xfId="0" applyNumberFormat="1" applyFont="1" applyAlignment="1">
      <alignment horizontal="center"/>
    </xf>
    <xf numFmtId="0" fontId="25" fillId="0" borderId="0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/>
    </xf>
    <xf numFmtId="0" fontId="20" fillId="0" borderId="28" xfId="0" applyFont="1" applyBorder="1" applyAlignment="1">
      <alignment horizontal="center"/>
    </xf>
    <xf numFmtId="0" fontId="25" fillId="0" borderId="1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43" fontId="25" fillId="0" borderId="0" xfId="1" applyFont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49" fontId="9" fillId="0" borderId="14" xfId="0" applyNumberFormat="1" applyFont="1" applyBorder="1" applyAlignment="1">
      <alignment horizontal="center"/>
    </xf>
    <xf numFmtId="43" fontId="48" fillId="0" borderId="0" xfId="1" applyFont="1" applyAlignment="1">
      <alignment horizontal="left" vertical="center"/>
    </xf>
    <xf numFmtId="0" fontId="35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49" fontId="11" fillId="0" borderId="0" xfId="0" applyNumberFormat="1" applyFont="1" applyAlignment="1">
      <alignment horizont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/>
    </xf>
    <xf numFmtId="43" fontId="9" fillId="0" borderId="9" xfId="1" applyFont="1" applyBorder="1" applyAlignment="1">
      <alignment horizontal="center"/>
    </xf>
    <xf numFmtId="43" fontId="9" fillId="0" borderId="11" xfId="1" applyFont="1" applyBorder="1" applyAlignment="1">
      <alignment horizontal="center"/>
    </xf>
    <xf numFmtId="43" fontId="56" fillId="0" borderId="15" xfId="1" applyFont="1" applyBorder="1" applyAlignment="1">
      <alignment horizontal="center"/>
    </xf>
    <xf numFmtId="43" fontId="57" fillId="3" borderId="7" xfId="0" applyNumberFormat="1" applyFont="1" applyFill="1" applyBorder="1" applyAlignment="1">
      <alignment horizontal="center" vertical="center"/>
    </xf>
    <xf numFmtId="0" fontId="57" fillId="3" borderId="12" xfId="0" applyFont="1" applyFill="1" applyBorder="1" applyAlignment="1">
      <alignment horizontal="center" vertical="center"/>
    </xf>
    <xf numFmtId="43" fontId="7" fillId="4" borderId="7" xfId="0" applyNumberFormat="1" applyFont="1" applyFill="1" applyBorder="1" applyAlignment="1">
      <alignment horizontal="center" vertical="center"/>
    </xf>
    <xf numFmtId="0" fontId="7" fillId="4" borderId="12" xfId="0" applyFont="1" applyFill="1" applyBorder="1" applyAlignment="1">
      <alignment horizontal="center" vertical="center"/>
    </xf>
    <xf numFmtId="43" fontId="57" fillId="0" borderId="7" xfId="1" applyFont="1" applyBorder="1" applyAlignment="1">
      <alignment horizontal="center"/>
    </xf>
    <xf numFmtId="43" fontId="57" fillId="0" borderId="12" xfId="1" applyFont="1" applyBorder="1" applyAlignment="1">
      <alignment horizontal="center"/>
    </xf>
    <xf numFmtId="43" fontId="7" fillId="0" borderId="7" xfId="1" quotePrefix="1" applyFont="1" applyBorder="1" applyAlignment="1">
      <alignment horizontal="right"/>
    </xf>
    <xf numFmtId="43" fontId="7" fillId="0" borderId="12" xfId="1" applyFont="1" applyBorder="1" applyAlignment="1">
      <alignment horizontal="right"/>
    </xf>
    <xf numFmtId="43" fontId="57" fillId="0" borderId="7" xfId="1" quotePrefix="1" applyFont="1" applyBorder="1" applyAlignment="1">
      <alignment horizontal="right"/>
    </xf>
    <xf numFmtId="43" fontId="57" fillId="0" borderId="12" xfId="1" applyFont="1" applyBorder="1" applyAlignment="1">
      <alignment horizontal="right"/>
    </xf>
    <xf numFmtId="43" fontId="7" fillId="0" borderId="7" xfId="1" applyFont="1" applyBorder="1" applyAlignment="1">
      <alignment horizontal="center"/>
    </xf>
    <xf numFmtId="43" fontId="7" fillId="0" borderId="12" xfId="1" applyFont="1" applyBorder="1" applyAlignment="1">
      <alignment horizontal="center"/>
    </xf>
    <xf numFmtId="43" fontId="7" fillId="4" borderId="7" xfId="1" applyFont="1" applyFill="1" applyBorder="1" applyAlignment="1">
      <alignment horizontal="center"/>
    </xf>
    <xf numFmtId="43" fontId="7" fillId="4" borderId="12" xfId="1" applyFont="1" applyFill="1" applyBorder="1" applyAlignment="1">
      <alignment horizontal="center"/>
    </xf>
    <xf numFmtId="43" fontId="7" fillId="4" borderId="7" xfId="1" quotePrefix="1" applyFont="1" applyFill="1" applyBorder="1" applyAlignment="1">
      <alignment horizontal="right"/>
    </xf>
    <xf numFmtId="43" fontId="7" fillId="4" borderId="12" xfId="1" applyFont="1" applyFill="1" applyBorder="1" applyAlignment="1">
      <alignment horizontal="right"/>
    </xf>
    <xf numFmtId="43" fontId="7" fillId="0" borderId="0" xfId="1" applyFont="1" applyAlignment="1">
      <alignment horizontal="center"/>
    </xf>
    <xf numFmtId="43" fontId="48" fillId="0" borderId="0" xfId="0" applyNumberFormat="1" applyFont="1" applyAlignment="1">
      <alignment horizontal="center"/>
    </xf>
    <xf numFmtId="0" fontId="48" fillId="0" borderId="0" xfId="0" applyFont="1" applyAlignment="1">
      <alignment horizontal="center"/>
    </xf>
    <xf numFmtId="43" fontId="9" fillId="0" borderId="0" xfId="1" applyFont="1" applyAlignment="1">
      <alignment horizontal="center"/>
    </xf>
    <xf numFmtId="187" fontId="7" fillId="0" borderId="0" xfId="0" applyNumberFormat="1" applyFont="1" applyBorder="1" applyAlignment="1">
      <alignment horizontal="center"/>
    </xf>
    <xf numFmtId="49" fontId="9" fillId="0" borderId="0" xfId="0" applyNumberFormat="1" applyFont="1" applyAlignment="1">
      <alignment horizontal="center"/>
    </xf>
    <xf numFmtId="43" fontId="48" fillId="0" borderId="23" xfId="0" applyNumberFormat="1" applyFont="1" applyBorder="1" applyAlignment="1">
      <alignment horizontal="center"/>
    </xf>
    <xf numFmtId="0" fontId="48" fillId="0" borderId="23" xfId="0" applyFont="1" applyBorder="1" applyAlignment="1">
      <alignment horizontal="center"/>
    </xf>
    <xf numFmtId="43" fontId="7" fillId="0" borderId="6" xfId="1" applyFont="1" applyBorder="1" applyAlignment="1">
      <alignment horizontal="center" vertical="center"/>
    </xf>
    <xf numFmtId="43" fontId="7" fillId="0" borderId="26" xfId="1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43" fontId="7" fillId="0" borderId="7" xfId="1" applyFont="1" applyBorder="1" applyAlignment="1">
      <alignment horizontal="center" vertical="center"/>
    </xf>
    <xf numFmtId="43" fontId="7" fillId="0" borderId="12" xfId="1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43" fontId="57" fillId="4" borderId="7" xfId="1" applyFont="1" applyFill="1" applyBorder="1" applyAlignment="1">
      <alignment horizontal="center"/>
    </xf>
    <xf numFmtId="43" fontId="57" fillId="4" borderId="12" xfId="1" applyFont="1" applyFill="1" applyBorder="1" applyAlignment="1">
      <alignment horizontal="center"/>
    </xf>
    <xf numFmtId="43" fontId="7" fillId="0" borderId="7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43" fontId="57" fillId="0" borderId="7" xfId="1" applyFont="1" applyBorder="1" applyAlignment="1">
      <alignment horizontal="center" vertical="center"/>
    </xf>
    <xf numFmtId="43" fontId="57" fillId="0" borderId="12" xfId="1" applyFont="1" applyBorder="1" applyAlignment="1">
      <alignment horizontal="center" vertical="center"/>
    </xf>
    <xf numFmtId="0" fontId="20" fillId="0" borderId="0" xfId="0" applyFont="1" applyAlignment="1"/>
    <xf numFmtId="0" fontId="5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49" fontId="24" fillId="0" borderId="0" xfId="0" applyNumberFormat="1" applyFont="1" applyAlignment="1">
      <alignment horizontal="center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1019175</xdr:colOff>
      <xdr:row>3</xdr:row>
      <xdr:rowOff>266700</xdr:rowOff>
    </xdr:from>
    <xdr:to>
      <xdr:col>7</xdr:col>
      <xdr:colOff>1066800</xdr:colOff>
      <xdr:row>22</xdr:row>
      <xdr:rowOff>142875</xdr:rowOff>
    </xdr:to>
    <xdr:sp macro="" textlink="">
      <xdr:nvSpPr>
        <xdr:cNvPr id="660768" name="Line 1"/>
        <xdr:cNvSpPr>
          <a:spLocks noChangeShapeType="1"/>
        </xdr:cNvSpPr>
      </xdr:nvSpPr>
      <xdr:spPr bwMode="auto">
        <a:xfrm flipH="1">
          <a:off x="7467600" y="1181100"/>
          <a:ext cx="47625" cy="561975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6</xdr:col>
      <xdr:colOff>904875</xdr:colOff>
      <xdr:row>3</xdr:row>
      <xdr:rowOff>276225</xdr:rowOff>
    </xdr:from>
    <xdr:to>
      <xdr:col>7</xdr:col>
      <xdr:colOff>19050</xdr:colOff>
      <xdr:row>30</xdr:row>
      <xdr:rowOff>19050</xdr:rowOff>
    </xdr:to>
    <xdr:sp macro="" textlink="">
      <xdr:nvSpPr>
        <xdr:cNvPr id="660769" name="Line 2"/>
        <xdr:cNvSpPr>
          <a:spLocks noChangeShapeType="1"/>
        </xdr:cNvSpPr>
      </xdr:nvSpPr>
      <xdr:spPr bwMode="auto">
        <a:xfrm flipH="1">
          <a:off x="6419850" y="1190625"/>
          <a:ext cx="47625" cy="7934325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5</xdr:col>
      <xdr:colOff>1181100</xdr:colOff>
      <xdr:row>39</xdr:row>
      <xdr:rowOff>314325</xdr:rowOff>
    </xdr:from>
    <xdr:to>
      <xdr:col>5</xdr:col>
      <xdr:colOff>1190625</xdr:colOff>
      <xdr:row>74</xdr:row>
      <xdr:rowOff>9525</xdr:rowOff>
    </xdr:to>
    <xdr:sp macro="" textlink="">
      <xdr:nvSpPr>
        <xdr:cNvPr id="660770" name="Line 3"/>
        <xdr:cNvSpPr>
          <a:spLocks noChangeShapeType="1"/>
        </xdr:cNvSpPr>
      </xdr:nvSpPr>
      <xdr:spPr bwMode="auto">
        <a:xfrm>
          <a:off x="5514975" y="12496800"/>
          <a:ext cx="0" cy="950595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5</xdr:col>
      <xdr:colOff>1181100</xdr:colOff>
      <xdr:row>82</xdr:row>
      <xdr:rowOff>9525</xdr:rowOff>
    </xdr:from>
    <xdr:to>
      <xdr:col>5</xdr:col>
      <xdr:colOff>1200150</xdr:colOff>
      <xdr:row>117</xdr:row>
      <xdr:rowOff>28575</xdr:rowOff>
    </xdr:to>
    <xdr:sp macro="" textlink="">
      <xdr:nvSpPr>
        <xdr:cNvPr id="660771" name="Line 6"/>
        <xdr:cNvSpPr>
          <a:spLocks noChangeShapeType="1"/>
        </xdr:cNvSpPr>
      </xdr:nvSpPr>
      <xdr:spPr bwMode="auto">
        <a:xfrm flipH="1">
          <a:off x="5514975" y="24869775"/>
          <a:ext cx="0" cy="1002030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6</xdr:col>
      <xdr:colOff>1190625</xdr:colOff>
      <xdr:row>82</xdr:row>
      <xdr:rowOff>0</xdr:rowOff>
    </xdr:from>
    <xdr:to>
      <xdr:col>6</xdr:col>
      <xdr:colOff>1190625</xdr:colOff>
      <xdr:row>117</xdr:row>
      <xdr:rowOff>9525</xdr:rowOff>
    </xdr:to>
    <xdr:sp macro="" textlink="">
      <xdr:nvSpPr>
        <xdr:cNvPr id="660772" name="Line 7"/>
        <xdr:cNvSpPr>
          <a:spLocks noChangeShapeType="1"/>
        </xdr:cNvSpPr>
      </xdr:nvSpPr>
      <xdr:spPr bwMode="auto">
        <a:xfrm flipH="1">
          <a:off x="6448425" y="24860250"/>
          <a:ext cx="0" cy="10010775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6</xdr:col>
      <xdr:colOff>1171575</xdr:colOff>
      <xdr:row>39</xdr:row>
      <xdr:rowOff>295275</xdr:rowOff>
    </xdr:from>
    <xdr:to>
      <xdr:col>6</xdr:col>
      <xdr:colOff>1190625</xdr:colOff>
      <xdr:row>74</xdr:row>
      <xdr:rowOff>0</xdr:rowOff>
    </xdr:to>
    <xdr:sp macro="" textlink="">
      <xdr:nvSpPr>
        <xdr:cNvPr id="660773" name="Line 8"/>
        <xdr:cNvSpPr>
          <a:spLocks noChangeShapeType="1"/>
        </xdr:cNvSpPr>
      </xdr:nvSpPr>
      <xdr:spPr bwMode="auto">
        <a:xfrm flipH="1" flipV="1">
          <a:off x="6448425" y="12477750"/>
          <a:ext cx="0" cy="9515475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10</xdr:col>
      <xdr:colOff>238125</xdr:colOff>
      <xdr:row>68</xdr:row>
      <xdr:rowOff>0</xdr:rowOff>
    </xdr:from>
    <xdr:to>
      <xdr:col>10</xdr:col>
      <xdr:colOff>238125</xdr:colOff>
      <xdr:row>74</xdr:row>
      <xdr:rowOff>200025</xdr:rowOff>
    </xdr:to>
    <xdr:sp macro="" textlink="">
      <xdr:nvSpPr>
        <xdr:cNvPr id="660774" name="Line 9"/>
        <xdr:cNvSpPr>
          <a:spLocks noChangeShapeType="1"/>
        </xdr:cNvSpPr>
      </xdr:nvSpPr>
      <xdr:spPr bwMode="auto">
        <a:xfrm>
          <a:off x="9286875" y="20326350"/>
          <a:ext cx="0" cy="186690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11</xdr:col>
      <xdr:colOff>152400</xdr:colOff>
      <xdr:row>68</xdr:row>
      <xdr:rowOff>38100</xdr:rowOff>
    </xdr:from>
    <xdr:to>
      <xdr:col>11</xdr:col>
      <xdr:colOff>152400</xdr:colOff>
      <xdr:row>74</xdr:row>
      <xdr:rowOff>9525</xdr:rowOff>
    </xdr:to>
    <xdr:sp macro="" textlink="">
      <xdr:nvSpPr>
        <xdr:cNvPr id="660775" name="Line 10"/>
        <xdr:cNvSpPr>
          <a:spLocks noChangeShapeType="1"/>
        </xdr:cNvSpPr>
      </xdr:nvSpPr>
      <xdr:spPr bwMode="auto">
        <a:xfrm>
          <a:off x="9810750" y="20364450"/>
          <a:ext cx="0" cy="163830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9</xdr:col>
      <xdr:colOff>314325</xdr:colOff>
      <xdr:row>123</xdr:row>
      <xdr:rowOff>0</xdr:rowOff>
    </xdr:from>
    <xdr:to>
      <xdr:col>9</xdr:col>
      <xdr:colOff>314325</xdr:colOff>
      <xdr:row>123</xdr:row>
      <xdr:rowOff>0</xdr:rowOff>
    </xdr:to>
    <xdr:sp macro="" textlink="">
      <xdr:nvSpPr>
        <xdr:cNvPr id="660776" name="Line 13"/>
        <xdr:cNvSpPr>
          <a:spLocks noChangeShapeType="1"/>
        </xdr:cNvSpPr>
      </xdr:nvSpPr>
      <xdr:spPr bwMode="auto">
        <a:xfrm>
          <a:off x="8524875" y="36537900"/>
          <a:ext cx="0" cy="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638175</xdr:colOff>
      <xdr:row>34</xdr:row>
      <xdr:rowOff>76200</xdr:rowOff>
    </xdr:from>
    <xdr:to>
      <xdr:col>9</xdr:col>
      <xdr:colOff>676275</xdr:colOff>
      <xdr:row>53</xdr:row>
      <xdr:rowOff>47625</xdr:rowOff>
    </xdr:to>
    <xdr:sp macro="" textlink="">
      <xdr:nvSpPr>
        <xdr:cNvPr id="660112" name="Line 3"/>
        <xdr:cNvSpPr>
          <a:spLocks noChangeShapeType="1"/>
        </xdr:cNvSpPr>
      </xdr:nvSpPr>
      <xdr:spPr bwMode="auto">
        <a:xfrm flipH="1">
          <a:off x="10696575" y="11477625"/>
          <a:ext cx="38100" cy="577215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6</xdr:col>
      <xdr:colOff>1190625</xdr:colOff>
      <xdr:row>78</xdr:row>
      <xdr:rowOff>0</xdr:rowOff>
    </xdr:from>
    <xdr:to>
      <xdr:col>6</xdr:col>
      <xdr:colOff>1190625</xdr:colOff>
      <xdr:row>114</xdr:row>
      <xdr:rowOff>9525</xdr:rowOff>
    </xdr:to>
    <xdr:sp macro="" textlink="">
      <xdr:nvSpPr>
        <xdr:cNvPr id="660113" name="Line 7"/>
        <xdr:cNvSpPr>
          <a:spLocks noChangeShapeType="1"/>
        </xdr:cNvSpPr>
      </xdr:nvSpPr>
      <xdr:spPr bwMode="auto">
        <a:xfrm flipH="1">
          <a:off x="7591425" y="24212550"/>
          <a:ext cx="0" cy="9267825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9</xdr:col>
      <xdr:colOff>228600</xdr:colOff>
      <xdr:row>35</xdr:row>
      <xdr:rowOff>190500</xdr:rowOff>
    </xdr:from>
    <xdr:to>
      <xdr:col>9</xdr:col>
      <xdr:colOff>285750</xdr:colOff>
      <xdr:row>55</xdr:row>
      <xdr:rowOff>85725</xdr:rowOff>
    </xdr:to>
    <xdr:sp macro="" textlink="">
      <xdr:nvSpPr>
        <xdr:cNvPr id="660114" name="Line 8"/>
        <xdr:cNvSpPr>
          <a:spLocks noChangeShapeType="1"/>
        </xdr:cNvSpPr>
      </xdr:nvSpPr>
      <xdr:spPr bwMode="auto">
        <a:xfrm flipH="1" flipV="1">
          <a:off x="10287000" y="12163425"/>
          <a:ext cx="57150" cy="567690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10</xdr:col>
      <xdr:colOff>238125</xdr:colOff>
      <xdr:row>63</xdr:row>
      <xdr:rowOff>0</xdr:rowOff>
    </xdr:from>
    <xdr:to>
      <xdr:col>10</xdr:col>
      <xdr:colOff>238125</xdr:colOff>
      <xdr:row>70</xdr:row>
      <xdr:rowOff>200025</xdr:rowOff>
    </xdr:to>
    <xdr:sp macro="" textlink="">
      <xdr:nvSpPr>
        <xdr:cNvPr id="660115" name="Line 9"/>
        <xdr:cNvSpPr>
          <a:spLocks noChangeShapeType="1"/>
        </xdr:cNvSpPr>
      </xdr:nvSpPr>
      <xdr:spPr bwMode="auto">
        <a:xfrm>
          <a:off x="11658600" y="19964400"/>
          <a:ext cx="0" cy="186690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11</xdr:col>
      <xdr:colOff>152400</xdr:colOff>
      <xdr:row>63</xdr:row>
      <xdr:rowOff>38100</xdr:rowOff>
    </xdr:from>
    <xdr:to>
      <xdr:col>11</xdr:col>
      <xdr:colOff>152400</xdr:colOff>
      <xdr:row>70</xdr:row>
      <xdr:rowOff>9525</xdr:rowOff>
    </xdr:to>
    <xdr:sp macro="" textlink="">
      <xdr:nvSpPr>
        <xdr:cNvPr id="660116" name="Line 10"/>
        <xdr:cNvSpPr>
          <a:spLocks noChangeShapeType="1"/>
        </xdr:cNvSpPr>
      </xdr:nvSpPr>
      <xdr:spPr bwMode="auto">
        <a:xfrm>
          <a:off x="12611100" y="20002500"/>
          <a:ext cx="0" cy="163830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11</xdr:col>
      <xdr:colOff>466725</xdr:colOff>
      <xdr:row>204</xdr:row>
      <xdr:rowOff>104775</xdr:rowOff>
    </xdr:from>
    <xdr:to>
      <xdr:col>11</xdr:col>
      <xdr:colOff>466725</xdr:colOff>
      <xdr:row>228</xdr:row>
      <xdr:rowOff>9525</xdr:rowOff>
    </xdr:to>
    <xdr:sp macro="" textlink="">
      <xdr:nvSpPr>
        <xdr:cNvPr id="660117" name="Line 12"/>
        <xdr:cNvSpPr>
          <a:spLocks noChangeShapeType="1"/>
        </xdr:cNvSpPr>
      </xdr:nvSpPr>
      <xdr:spPr bwMode="auto">
        <a:xfrm flipH="1">
          <a:off x="12925425" y="64331850"/>
          <a:ext cx="0" cy="699135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6</xdr:col>
      <xdr:colOff>1152525</xdr:colOff>
      <xdr:row>5</xdr:row>
      <xdr:rowOff>9525</xdr:rowOff>
    </xdr:from>
    <xdr:to>
      <xdr:col>6</xdr:col>
      <xdr:colOff>1181100</xdr:colOff>
      <xdr:row>30</xdr:row>
      <xdr:rowOff>38100</xdr:rowOff>
    </xdr:to>
    <xdr:cxnSp macro="">
      <xdr:nvCxnSpPr>
        <xdr:cNvPr id="660118" name="ตัวเชื่อมต่อตรง 12"/>
        <xdr:cNvCxnSpPr>
          <a:cxnSpLocks noChangeShapeType="1"/>
        </xdr:cNvCxnSpPr>
      </xdr:nvCxnSpPr>
      <xdr:spPr bwMode="auto">
        <a:xfrm rot="16200000" flipH="1">
          <a:off x="3243263" y="5824537"/>
          <a:ext cx="864870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5</xdr:col>
      <xdr:colOff>1171575</xdr:colOff>
      <xdr:row>5</xdr:row>
      <xdr:rowOff>9525</xdr:rowOff>
    </xdr:from>
    <xdr:to>
      <xdr:col>5</xdr:col>
      <xdr:colOff>1181100</xdr:colOff>
      <xdr:row>29</xdr:row>
      <xdr:rowOff>342900</xdr:rowOff>
    </xdr:to>
    <xdr:cxnSp macro="">
      <xdr:nvCxnSpPr>
        <xdr:cNvPr id="660119" name="ตัวเชื่อมต่อตรง 14"/>
        <xdr:cNvCxnSpPr>
          <a:cxnSpLocks noChangeShapeType="1"/>
        </xdr:cNvCxnSpPr>
      </xdr:nvCxnSpPr>
      <xdr:spPr bwMode="auto">
        <a:xfrm rot="5400000">
          <a:off x="1876425" y="5810250"/>
          <a:ext cx="8601075" cy="952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6</xdr:col>
      <xdr:colOff>1216819</xdr:colOff>
      <xdr:row>40</xdr:row>
      <xdr:rowOff>0</xdr:rowOff>
    </xdr:from>
    <xdr:to>
      <xdr:col>6</xdr:col>
      <xdr:colOff>1226344</xdr:colOff>
      <xdr:row>69</xdr:row>
      <xdr:rowOff>276225</xdr:rowOff>
    </xdr:to>
    <xdr:cxnSp macro="">
      <xdr:nvCxnSpPr>
        <xdr:cNvPr id="660120" name="ตัวเชื่อมต่อตรง 12"/>
        <xdr:cNvCxnSpPr>
          <a:cxnSpLocks noChangeShapeType="1"/>
        </xdr:cNvCxnSpPr>
      </xdr:nvCxnSpPr>
      <xdr:spPr bwMode="auto">
        <a:xfrm rot="5400000">
          <a:off x="3476626" y="17409319"/>
          <a:ext cx="8301037" cy="952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5</xdr:col>
      <xdr:colOff>1190625</xdr:colOff>
      <xdr:row>39</xdr:row>
      <xdr:rowOff>323850</xdr:rowOff>
    </xdr:from>
    <xdr:to>
      <xdr:col>5</xdr:col>
      <xdr:colOff>1190625</xdr:colOff>
      <xdr:row>69</xdr:row>
      <xdr:rowOff>266700</xdr:rowOff>
    </xdr:to>
    <xdr:cxnSp macro="">
      <xdr:nvCxnSpPr>
        <xdr:cNvPr id="660121" name="ตัวเชื่อมต่อตรง 12"/>
        <xdr:cNvCxnSpPr>
          <a:cxnSpLocks noChangeShapeType="1"/>
        </xdr:cNvCxnSpPr>
      </xdr:nvCxnSpPr>
      <xdr:spPr bwMode="auto">
        <a:xfrm rot="16200000" flipH="1">
          <a:off x="2147887" y="17568863"/>
          <a:ext cx="808672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8</xdr:col>
      <xdr:colOff>242888</xdr:colOff>
      <xdr:row>70</xdr:row>
      <xdr:rowOff>145257</xdr:rowOff>
    </xdr:from>
    <xdr:to>
      <xdr:col>8</xdr:col>
      <xdr:colOff>261938</xdr:colOff>
      <xdr:row>97</xdr:row>
      <xdr:rowOff>92870</xdr:rowOff>
    </xdr:to>
    <xdr:cxnSp macro="">
      <xdr:nvCxnSpPr>
        <xdr:cNvPr id="660122" name="ตัวเชื่อมต่อตรง 12"/>
        <xdr:cNvCxnSpPr>
          <a:cxnSpLocks noChangeShapeType="1"/>
        </xdr:cNvCxnSpPr>
      </xdr:nvCxnSpPr>
      <xdr:spPr bwMode="auto">
        <a:xfrm rot="16200000" flipH="1">
          <a:off x="5666185" y="25475804"/>
          <a:ext cx="7531894" cy="1905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5</xdr:col>
      <xdr:colOff>1190625</xdr:colOff>
      <xdr:row>78</xdr:row>
      <xdr:rowOff>38100</xdr:rowOff>
    </xdr:from>
    <xdr:to>
      <xdr:col>5</xdr:col>
      <xdr:colOff>1200150</xdr:colOff>
      <xdr:row>113</xdr:row>
      <xdr:rowOff>228600</xdr:rowOff>
    </xdr:to>
    <xdr:cxnSp macro="">
      <xdr:nvCxnSpPr>
        <xdr:cNvPr id="660123" name="ตัวเชื่อมต่อตรง 12"/>
        <xdr:cNvCxnSpPr>
          <a:cxnSpLocks noChangeShapeType="1"/>
        </xdr:cNvCxnSpPr>
      </xdr:nvCxnSpPr>
      <xdr:spPr bwMode="auto">
        <a:xfrm rot="5400000">
          <a:off x="1600200" y="28841700"/>
          <a:ext cx="9191625" cy="952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1190625</xdr:colOff>
      <xdr:row>0</xdr:row>
      <xdr:rowOff>0</xdr:rowOff>
    </xdr:from>
    <xdr:to>
      <xdr:col>3</xdr:col>
      <xdr:colOff>1200150</xdr:colOff>
      <xdr:row>0</xdr:row>
      <xdr:rowOff>0</xdr:rowOff>
    </xdr:to>
    <xdr:sp macro="" textlink="">
      <xdr:nvSpPr>
        <xdr:cNvPr id="661555" name="Line 2"/>
        <xdr:cNvSpPr>
          <a:spLocks noChangeShapeType="1"/>
        </xdr:cNvSpPr>
      </xdr:nvSpPr>
      <xdr:spPr bwMode="auto">
        <a:xfrm>
          <a:off x="5734050" y="0"/>
          <a:ext cx="9525" cy="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4</xdr:col>
      <xdr:colOff>1181100</xdr:colOff>
      <xdr:row>0</xdr:row>
      <xdr:rowOff>0</xdr:rowOff>
    </xdr:from>
    <xdr:to>
      <xdr:col>4</xdr:col>
      <xdr:colOff>1181100</xdr:colOff>
      <xdr:row>0</xdr:row>
      <xdr:rowOff>0</xdr:rowOff>
    </xdr:to>
    <xdr:sp macro="" textlink="">
      <xdr:nvSpPr>
        <xdr:cNvPr id="661556" name="Line 3"/>
        <xdr:cNvSpPr>
          <a:spLocks noChangeShapeType="1"/>
        </xdr:cNvSpPr>
      </xdr:nvSpPr>
      <xdr:spPr bwMode="auto">
        <a:xfrm flipH="1">
          <a:off x="7077075" y="0"/>
          <a:ext cx="0" cy="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5</xdr:col>
      <xdr:colOff>714375</xdr:colOff>
      <xdr:row>0</xdr:row>
      <xdr:rowOff>0</xdr:rowOff>
    </xdr:from>
    <xdr:to>
      <xdr:col>5</xdr:col>
      <xdr:colOff>714375</xdr:colOff>
      <xdr:row>0</xdr:row>
      <xdr:rowOff>0</xdr:rowOff>
    </xdr:to>
    <xdr:sp macro="" textlink="">
      <xdr:nvSpPr>
        <xdr:cNvPr id="661557" name="Line 4"/>
        <xdr:cNvSpPr>
          <a:spLocks noChangeShapeType="1"/>
        </xdr:cNvSpPr>
      </xdr:nvSpPr>
      <xdr:spPr bwMode="auto">
        <a:xfrm>
          <a:off x="79629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714375</xdr:colOff>
      <xdr:row>0</xdr:row>
      <xdr:rowOff>0</xdr:rowOff>
    </xdr:from>
    <xdr:to>
      <xdr:col>5</xdr:col>
      <xdr:colOff>714375</xdr:colOff>
      <xdr:row>0</xdr:row>
      <xdr:rowOff>0</xdr:rowOff>
    </xdr:to>
    <xdr:sp macro="" textlink="">
      <xdr:nvSpPr>
        <xdr:cNvPr id="661558" name="Line 5"/>
        <xdr:cNvSpPr>
          <a:spLocks noChangeShapeType="1"/>
        </xdr:cNvSpPr>
      </xdr:nvSpPr>
      <xdr:spPr bwMode="auto">
        <a:xfrm flipV="1">
          <a:off x="79629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66675</xdr:colOff>
      <xdr:row>0</xdr:row>
      <xdr:rowOff>0</xdr:rowOff>
    </xdr:from>
    <xdr:to>
      <xdr:col>5</xdr:col>
      <xdr:colOff>257175</xdr:colOff>
      <xdr:row>0</xdr:row>
      <xdr:rowOff>0</xdr:rowOff>
    </xdr:to>
    <xdr:sp macro="" textlink="">
      <xdr:nvSpPr>
        <xdr:cNvPr id="661559" name="AutoShape 6"/>
        <xdr:cNvSpPr>
          <a:spLocks/>
        </xdr:cNvSpPr>
      </xdr:nvSpPr>
      <xdr:spPr bwMode="auto">
        <a:xfrm>
          <a:off x="7315200" y="0"/>
          <a:ext cx="19050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19050</xdr:colOff>
      <xdr:row>0</xdr:row>
      <xdr:rowOff>0</xdr:rowOff>
    </xdr:from>
    <xdr:to>
      <xdr:col>5</xdr:col>
      <xdr:colOff>95250</xdr:colOff>
      <xdr:row>0</xdr:row>
      <xdr:rowOff>0</xdr:rowOff>
    </xdr:to>
    <xdr:sp macro="" textlink="">
      <xdr:nvSpPr>
        <xdr:cNvPr id="661560" name="AutoShape 7"/>
        <xdr:cNvSpPr>
          <a:spLocks/>
        </xdr:cNvSpPr>
      </xdr:nvSpPr>
      <xdr:spPr bwMode="auto">
        <a:xfrm>
          <a:off x="7267575" y="0"/>
          <a:ext cx="7620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1162050</xdr:colOff>
      <xdr:row>4</xdr:row>
      <xdr:rowOff>9525</xdr:rowOff>
    </xdr:from>
    <xdr:to>
      <xdr:col>3</xdr:col>
      <xdr:colOff>1171575</xdr:colOff>
      <xdr:row>33</xdr:row>
      <xdr:rowOff>0</xdr:rowOff>
    </xdr:to>
    <xdr:sp macro="" textlink="">
      <xdr:nvSpPr>
        <xdr:cNvPr id="661561" name="Line 10"/>
        <xdr:cNvSpPr>
          <a:spLocks noChangeShapeType="1"/>
        </xdr:cNvSpPr>
      </xdr:nvSpPr>
      <xdr:spPr bwMode="auto">
        <a:xfrm>
          <a:off x="5705475" y="1209675"/>
          <a:ext cx="9525" cy="8048625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4</xdr:col>
      <xdr:colOff>1171575</xdr:colOff>
      <xdr:row>4</xdr:row>
      <xdr:rowOff>9525</xdr:rowOff>
    </xdr:from>
    <xdr:to>
      <xdr:col>4</xdr:col>
      <xdr:colOff>1181100</xdr:colOff>
      <xdr:row>33</xdr:row>
      <xdr:rowOff>0</xdr:rowOff>
    </xdr:to>
    <xdr:sp macro="" textlink="">
      <xdr:nvSpPr>
        <xdr:cNvPr id="661562" name="Line 11"/>
        <xdr:cNvSpPr>
          <a:spLocks noChangeShapeType="1"/>
        </xdr:cNvSpPr>
      </xdr:nvSpPr>
      <xdr:spPr bwMode="auto">
        <a:xfrm>
          <a:off x="7067550" y="1209675"/>
          <a:ext cx="9525" cy="8048625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5</xdr:col>
      <xdr:colOff>95250</xdr:colOff>
      <xdr:row>21</xdr:row>
      <xdr:rowOff>142875</xdr:rowOff>
    </xdr:from>
    <xdr:to>
      <xdr:col>5</xdr:col>
      <xdr:colOff>247650</xdr:colOff>
      <xdr:row>28</xdr:row>
      <xdr:rowOff>0</xdr:rowOff>
    </xdr:to>
    <xdr:sp macro="" textlink="">
      <xdr:nvSpPr>
        <xdr:cNvPr id="661563" name="AutoShape 12"/>
        <xdr:cNvSpPr>
          <a:spLocks/>
        </xdr:cNvSpPr>
      </xdr:nvSpPr>
      <xdr:spPr bwMode="auto">
        <a:xfrm>
          <a:off x="7343775" y="6038850"/>
          <a:ext cx="152400" cy="1790700"/>
        </a:xfrm>
        <a:prstGeom prst="rightBrace">
          <a:avLst>
            <a:gd name="adj1" fmla="val 979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1323975</xdr:colOff>
      <xdr:row>15</xdr:row>
      <xdr:rowOff>95250</xdr:rowOff>
    </xdr:from>
    <xdr:to>
      <xdr:col>5</xdr:col>
      <xdr:colOff>104775</xdr:colOff>
      <xdr:row>20</xdr:row>
      <xdr:rowOff>0</xdr:rowOff>
    </xdr:to>
    <xdr:sp macro="" textlink="">
      <xdr:nvSpPr>
        <xdr:cNvPr id="661564" name="AutoShape 12"/>
        <xdr:cNvSpPr>
          <a:spLocks/>
        </xdr:cNvSpPr>
      </xdr:nvSpPr>
      <xdr:spPr bwMode="auto">
        <a:xfrm>
          <a:off x="7219950" y="4333875"/>
          <a:ext cx="133350" cy="1285875"/>
        </a:xfrm>
        <a:prstGeom prst="rightBrace">
          <a:avLst>
            <a:gd name="adj1" fmla="val 15723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276225</xdr:colOff>
      <xdr:row>4</xdr:row>
      <xdr:rowOff>333375</xdr:rowOff>
    </xdr:from>
    <xdr:to>
      <xdr:col>3</xdr:col>
      <xdr:colOff>285750</xdr:colOff>
      <xdr:row>17</xdr:row>
      <xdr:rowOff>0</xdr:rowOff>
    </xdr:to>
    <xdr:sp macro="" textlink="">
      <xdr:nvSpPr>
        <xdr:cNvPr id="654968" name="Line 9"/>
        <xdr:cNvSpPr>
          <a:spLocks noChangeShapeType="1"/>
        </xdr:cNvSpPr>
      </xdr:nvSpPr>
      <xdr:spPr bwMode="auto">
        <a:xfrm flipH="1">
          <a:off x="4400550" y="1333500"/>
          <a:ext cx="9525" cy="421005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5</xdr:col>
      <xdr:colOff>285750</xdr:colOff>
      <xdr:row>5</xdr:row>
      <xdr:rowOff>0</xdr:rowOff>
    </xdr:from>
    <xdr:to>
      <xdr:col>5</xdr:col>
      <xdr:colOff>304800</xdr:colOff>
      <xdr:row>16</xdr:row>
      <xdr:rowOff>304800</xdr:rowOff>
    </xdr:to>
    <xdr:sp macro="" textlink="">
      <xdr:nvSpPr>
        <xdr:cNvPr id="654969" name="Line 10"/>
        <xdr:cNvSpPr>
          <a:spLocks noChangeShapeType="1"/>
        </xdr:cNvSpPr>
      </xdr:nvSpPr>
      <xdr:spPr bwMode="auto">
        <a:xfrm flipH="1">
          <a:off x="5334000" y="1333500"/>
          <a:ext cx="19050" cy="419100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7</xdr:col>
      <xdr:colOff>333375</xdr:colOff>
      <xdr:row>5</xdr:row>
      <xdr:rowOff>19050</xdr:rowOff>
    </xdr:from>
    <xdr:to>
      <xdr:col>7</xdr:col>
      <xdr:colOff>333375</xdr:colOff>
      <xdr:row>17</xdr:row>
      <xdr:rowOff>19050</xdr:rowOff>
    </xdr:to>
    <xdr:sp macro="" textlink="">
      <xdr:nvSpPr>
        <xdr:cNvPr id="654970" name="Line 11"/>
        <xdr:cNvSpPr>
          <a:spLocks noChangeShapeType="1"/>
        </xdr:cNvSpPr>
      </xdr:nvSpPr>
      <xdr:spPr bwMode="auto">
        <a:xfrm>
          <a:off x="6286500" y="1352550"/>
          <a:ext cx="0" cy="421005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1</xdr:col>
      <xdr:colOff>847725</xdr:colOff>
      <xdr:row>5</xdr:row>
      <xdr:rowOff>0</xdr:rowOff>
    </xdr:from>
    <xdr:to>
      <xdr:col>1</xdr:col>
      <xdr:colOff>866775</xdr:colOff>
      <xdr:row>17</xdr:row>
      <xdr:rowOff>0</xdr:rowOff>
    </xdr:to>
    <xdr:sp macro="" textlink="">
      <xdr:nvSpPr>
        <xdr:cNvPr id="654971" name="Line 13"/>
        <xdr:cNvSpPr>
          <a:spLocks noChangeShapeType="1"/>
        </xdr:cNvSpPr>
      </xdr:nvSpPr>
      <xdr:spPr bwMode="auto">
        <a:xfrm flipH="1">
          <a:off x="3419475" y="1333500"/>
          <a:ext cx="19050" cy="421005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333375</xdr:colOff>
      <xdr:row>22</xdr:row>
      <xdr:rowOff>209550</xdr:rowOff>
    </xdr:from>
    <xdr:to>
      <xdr:col>8</xdr:col>
      <xdr:colOff>333375</xdr:colOff>
      <xdr:row>23</xdr:row>
      <xdr:rowOff>180975</xdr:rowOff>
    </xdr:to>
    <xdr:sp macro="" textlink="">
      <xdr:nvSpPr>
        <xdr:cNvPr id="658737" name="Line 2"/>
        <xdr:cNvSpPr>
          <a:spLocks noChangeShapeType="1"/>
        </xdr:cNvSpPr>
      </xdr:nvSpPr>
      <xdr:spPr bwMode="auto">
        <a:xfrm flipH="1">
          <a:off x="7839075" y="5610225"/>
          <a:ext cx="0" cy="228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13</xdr:col>
      <xdr:colOff>438150</xdr:colOff>
      <xdr:row>4</xdr:row>
      <xdr:rowOff>219075</xdr:rowOff>
    </xdr:from>
    <xdr:to>
      <xdr:col>13</xdr:col>
      <xdr:colOff>514350</xdr:colOff>
      <xdr:row>8</xdr:row>
      <xdr:rowOff>114300</xdr:rowOff>
    </xdr:to>
    <xdr:sp macro="" textlink="">
      <xdr:nvSpPr>
        <xdr:cNvPr id="658738" name="AutoShape 3"/>
        <xdr:cNvSpPr>
          <a:spLocks/>
        </xdr:cNvSpPr>
      </xdr:nvSpPr>
      <xdr:spPr bwMode="auto">
        <a:xfrm>
          <a:off x="11534775" y="1247775"/>
          <a:ext cx="76200" cy="923925"/>
        </a:xfrm>
        <a:prstGeom prst="rightBrace">
          <a:avLst>
            <a:gd name="adj1" fmla="val 10104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304800</xdr:colOff>
      <xdr:row>52</xdr:row>
      <xdr:rowOff>0</xdr:rowOff>
    </xdr:from>
    <xdr:to>
      <xdr:col>9</xdr:col>
      <xdr:colOff>314325</xdr:colOff>
      <xdr:row>52</xdr:row>
      <xdr:rowOff>0</xdr:rowOff>
    </xdr:to>
    <xdr:sp macro="" textlink="">
      <xdr:nvSpPr>
        <xdr:cNvPr id="658739" name="Line 4"/>
        <xdr:cNvSpPr>
          <a:spLocks noChangeShapeType="1"/>
        </xdr:cNvSpPr>
      </xdr:nvSpPr>
      <xdr:spPr bwMode="auto">
        <a:xfrm>
          <a:off x="8658225" y="13420725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333375</xdr:colOff>
      <xdr:row>52</xdr:row>
      <xdr:rowOff>0</xdr:rowOff>
    </xdr:from>
    <xdr:to>
      <xdr:col>8</xdr:col>
      <xdr:colOff>333375</xdr:colOff>
      <xdr:row>52</xdr:row>
      <xdr:rowOff>0</xdr:rowOff>
    </xdr:to>
    <xdr:sp macro="" textlink="">
      <xdr:nvSpPr>
        <xdr:cNvPr id="658740" name="Line 5"/>
        <xdr:cNvSpPr>
          <a:spLocks noChangeShapeType="1"/>
        </xdr:cNvSpPr>
      </xdr:nvSpPr>
      <xdr:spPr bwMode="auto">
        <a:xfrm flipH="1">
          <a:off x="7839075" y="1342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591;&#3610;&#3611;&#3619;&#3632;&#3592;&#3635;&#3648;&#3604;&#3639;&#3629;&#3609;/(08)%20&#3614;.&#3588;.5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3624;&#3619;&#3637;&#3652;&#3614;&#3619;\&#3610;&#3633;&#3597;&#3594;&#3637;\&#3591;&#3610;&#3611;&#3619;&#3632;&#3592;&#3635;&#3648;&#3604;&#3639;&#3629;&#3609;\&#3591;&#3610;&#3648;&#3604;&#3639;&#3629;&#3609;%20&#3611;&#3637;60\&#3585;.&#3618;%2060%20(12).xlsx%20&#3649;&#3585;&#3657;&#3652;&#3586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สมุดเงินสดรับ"/>
      <sheetName val="สมุดเงินสดจ่าย"/>
      <sheetName val="ใบผ่านมาตรฐาน 1, 2"/>
      <sheetName val="งบทดลอง "/>
      <sheetName val="รับ-จ่ายเงินสด   "/>
      <sheetName val="หมายเหตุ1 "/>
      <sheetName val="หมายเหตุ2  "/>
      <sheetName val="งบกระทบยอดธนาคาร (2)"/>
      <sheetName val="กระแสเงินสด"/>
      <sheetName val="กระทบยอดจ่ายจากรายรับ "/>
      <sheetName val="กระทบยอด(อุดหนุน)"/>
      <sheetName val="จ่ายจากเงินสะสม"/>
      <sheetName val="กระทบยอดคงเหลือ"/>
      <sheetName val="Sheet1"/>
      <sheetName val="Sheet3"/>
    </sheetNames>
    <sheetDataSet>
      <sheetData sheetId="0"/>
      <sheetData sheetId="1"/>
      <sheetData sheetId="2"/>
      <sheetData sheetId="3"/>
      <sheetData sheetId="4"/>
      <sheetData sheetId="5" refreshError="1">
        <row r="13">
          <cell r="G13">
            <v>0</v>
          </cell>
        </row>
        <row r="18">
          <cell r="G18">
            <v>0</v>
          </cell>
        </row>
        <row r="19">
          <cell r="G19">
            <v>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ใบผ่านมาตรฐาน 1, 2"/>
      <sheetName val="งบทดลอง "/>
      <sheetName val="รับ-จ่ายเงินสด   "/>
      <sheetName val="หมายเหตุ1 "/>
      <sheetName val="หมายเหตุ 3"/>
      <sheetName val="หมายเหตุ2  "/>
      <sheetName val="งบกระทบยอดธนาคาร (2)"/>
      <sheetName val="กระแสเงินสด"/>
      <sheetName val="Sheet3"/>
    </sheetNames>
    <sheetDataSet>
      <sheetData sheetId="0" refreshError="1"/>
      <sheetData sheetId="1" refreshError="1"/>
      <sheetData sheetId="2">
        <row r="15">
          <cell r="D15">
            <v>318000</v>
          </cell>
        </row>
      </sheetData>
      <sheetData sheetId="3" refreshError="1"/>
      <sheetData sheetId="4" refreshError="1"/>
      <sheetData sheetId="5">
        <row r="16">
          <cell r="E16">
            <v>1522861.3800000001</v>
          </cell>
        </row>
        <row r="50">
          <cell r="B50" t="str">
            <v>จัดซุ้มราชพิธี(ถวายดอกไม้จันทน์)</v>
          </cell>
          <cell r="H50">
            <v>400000</v>
          </cell>
        </row>
        <row r="53">
          <cell r="B53" t="str">
            <v>โครงการปรับปรุงอาคารสำนักงาน</v>
          </cell>
          <cell r="H53">
            <v>480000</v>
          </cell>
        </row>
        <row r="54">
          <cell r="B54" t="str">
            <v>โครงการซ่อมแซมติดตั้งเสียงไร้สายบ้านชุกหว้า หมู่ที่ 6</v>
          </cell>
          <cell r="C54">
            <v>0</v>
          </cell>
          <cell r="H54">
            <v>100000</v>
          </cell>
        </row>
        <row r="55">
          <cell r="B55" t="str">
            <v>โครงการซ่อมแซมติดตั้งเสียงไร้สายสายหนองพงษ์-หนองแสนหลุม หนองหิน หมู่ที่ 7</v>
          </cell>
          <cell r="H55">
            <v>122000</v>
          </cell>
        </row>
        <row r="56">
          <cell r="B56" t="str">
            <v>โครงการติดตั้งเสียงตามสายบ้านปากบึง หมู่ที่ 13</v>
          </cell>
          <cell r="H56">
            <v>90000</v>
          </cell>
        </row>
      </sheetData>
      <sheetData sheetId="6" refreshError="1">
        <row r="7">
          <cell r="A7" t="str">
            <v>เงินรับฝากอื่นๆ ปี 57-59</v>
          </cell>
        </row>
      </sheetData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3"/>
  <sheetViews>
    <sheetView topLeftCell="A4" zoomScaleNormal="100" workbookViewId="0">
      <selection activeCell="H32" sqref="H32"/>
    </sheetView>
  </sheetViews>
  <sheetFormatPr defaultRowHeight="21.75"/>
  <cols>
    <col min="2" max="2" width="10.42578125" customWidth="1"/>
    <col min="3" max="3" width="10.85546875" customWidth="1"/>
    <col min="4" max="4" width="28.42578125" customWidth="1"/>
    <col min="5" max="5" width="9" customWidth="1"/>
    <col min="6" max="6" width="14.85546875" customWidth="1"/>
    <col min="7" max="7" width="14" customWidth="1"/>
    <col min="8" max="8" width="17.28515625" customWidth="1"/>
    <col min="10" max="10" width="12.5703125" customWidth="1"/>
  </cols>
  <sheetData>
    <row r="1" spans="1:10" s="50" customFormat="1" ht="23.25">
      <c r="F1" s="51" t="s">
        <v>370</v>
      </c>
      <c r="G1" s="144" t="s">
        <v>133</v>
      </c>
    </row>
    <row r="2" spans="1:10" s="50" customFormat="1" ht="23.25">
      <c r="B2" s="52"/>
      <c r="C2" s="52"/>
      <c r="D2" s="52"/>
      <c r="E2" s="53"/>
      <c r="F2" s="54" t="s">
        <v>364</v>
      </c>
      <c r="G2" s="63"/>
    </row>
    <row r="3" spans="1:10" s="50" customFormat="1" ht="25.5">
      <c r="B3" s="507" t="s">
        <v>38</v>
      </c>
      <c r="C3" s="507"/>
      <c r="D3" s="507"/>
      <c r="E3" s="507"/>
      <c r="F3" s="507"/>
      <c r="G3" s="63"/>
    </row>
    <row r="4" spans="1:10" s="50" customFormat="1" ht="23.25">
      <c r="A4" s="52" t="s">
        <v>140</v>
      </c>
      <c r="B4" s="50" t="s">
        <v>2</v>
      </c>
      <c r="D4" s="55"/>
      <c r="E4" s="56"/>
      <c r="F4" s="56"/>
      <c r="G4" s="56"/>
    </row>
    <row r="5" spans="1:10" s="50" customFormat="1" ht="23.25">
      <c r="A5" s="57"/>
      <c r="B5" s="508" t="s">
        <v>1</v>
      </c>
      <c r="C5" s="508"/>
      <c r="D5" s="509"/>
      <c r="E5" s="59" t="s">
        <v>5</v>
      </c>
      <c r="F5" s="58" t="s">
        <v>4</v>
      </c>
      <c r="G5" s="145" t="s">
        <v>3</v>
      </c>
    </row>
    <row r="6" spans="1:10" s="50" customFormat="1" ht="23.25">
      <c r="A6" s="52" t="s">
        <v>4</v>
      </c>
      <c r="B6" s="51" t="s">
        <v>171</v>
      </c>
      <c r="C6" s="71"/>
      <c r="D6" s="71"/>
      <c r="E6" s="61">
        <v>110100</v>
      </c>
      <c r="F6" s="217">
        <f>201+800+10</f>
        <v>1011</v>
      </c>
      <c r="G6" s="74"/>
    </row>
    <row r="7" spans="1:10" s="50" customFormat="1" ht="23.25">
      <c r="A7" s="52"/>
      <c r="B7" s="106" t="s">
        <v>244</v>
      </c>
      <c r="C7" s="1"/>
      <c r="D7" s="1"/>
      <c r="E7" s="61"/>
      <c r="F7" s="217"/>
      <c r="G7" s="74"/>
      <c r="H7" s="353">
        <f>J8-H9</f>
        <v>27871.999999999069</v>
      </c>
    </row>
    <row r="8" spans="1:10" s="50" customFormat="1" ht="23.25">
      <c r="A8" s="52"/>
      <c r="B8" s="106" t="s">
        <v>269</v>
      </c>
      <c r="C8" s="1"/>
      <c r="D8" s="1"/>
      <c r="E8" s="61"/>
      <c r="F8" s="217"/>
      <c r="G8" s="74"/>
      <c r="J8" s="361">
        <v>6485712.0599999996</v>
      </c>
    </row>
    <row r="9" spans="1:10" s="50" customFormat="1" ht="23.25">
      <c r="B9" s="106" t="s">
        <v>153</v>
      </c>
      <c r="C9" s="1"/>
      <c r="D9" s="1"/>
      <c r="E9" s="61">
        <v>110201</v>
      </c>
      <c r="F9" s="66">
        <v>8789934.6799999997</v>
      </c>
      <c r="G9" s="147" t="s">
        <v>344</v>
      </c>
      <c r="H9" s="50">
        <f>6593605.4-11608.48-27872-15706.93-80577.93</f>
        <v>6457840.0600000005</v>
      </c>
    </row>
    <row r="10" spans="1:10" s="50" customFormat="1" ht="23.25">
      <c r="B10" s="106" t="s">
        <v>266</v>
      </c>
      <c r="C10" s="1"/>
      <c r="D10" s="1"/>
      <c r="E10" s="61">
        <v>110201</v>
      </c>
      <c r="F10" s="66">
        <v>0</v>
      </c>
      <c r="G10" s="147"/>
    </row>
    <row r="11" spans="1:10" s="50" customFormat="1" ht="23.25">
      <c r="B11" s="106" t="s">
        <v>267</v>
      </c>
      <c r="C11" s="1"/>
      <c r="D11" s="1"/>
      <c r="E11" s="61">
        <v>110201</v>
      </c>
      <c r="F11" s="66">
        <v>0</v>
      </c>
      <c r="G11" s="146"/>
      <c r="H11" s="50">
        <f>20000+20000+20013+2707.93+17857</f>
        <v>80577.929999999993</v>
      </c>
      <c r="J11" s="361">
        <v>6593605.4000000004</v>
      </c>
    </row>
    <row r="12" spans="1:10" s="50" customFormat="1" ht="23.25">
      <c r="B12" s="106" t="s">
        <v>303</v>
      </c>
      <c r="C12" s="1"/>
      <c r="D12" s="1"/>
      <c r="E12" s="61">
        <v>110201</v>
      </c>
      <c r="F12" s="66"/>
      <c r="G12" s="146"/>
    </row>
    <row r="13" spans="1:10" s="50" customFormat="1" ht="23.25">
      <c r="B13" s="106" t="s">
        <v>254</v>
      </c>
      <c r="C13" s="106"/>
      <c r="D13" s="106"/>
      <c r="E13" s="61">
        <v>110202</v>
      </c>
      <c r="F13" s="66">
        <v>0</v>
      </c>
      <c r="G13" s="146"/>
      <c r="H13" s="360"/>
    </row>
    <row r="14" spans="1:10" s="50" customFormat="1" ht="23.25">
      <c r="B14" s="106" t="s">
        <v>253</v>
      </c>
      <c r="C14" s="106"/>
      <c r="D14" s="106"/>
      <c r="E14" s="61">
        <v>110202</v>
      </c>
      <c r="F14" s="66">
        <v>0</v>
      </c>
      <c r="G14" s="146"/>
      <c r="H14" s="361"/>
    </row>
    <row r="15" spans="1:10" s="50" customFormat="1" ht="23.25">
      <c r="B15" s="106" t="s">
        <v>168</v>
      </c>
      <c r="C15" s="1"/>
      <c r="D15" s="1"/>
      <c r="E15" s="61">
        <v>14000</v>
      </c>
      <c r="F15" s="66">
        <v>0</v>
      </c>
      <c r="G15" s="146"/>
    </row>
    <row r="16" spans="1:10" s="50" customFormat="1" ht="23.25">
      <c r="B16" s="63"/>
      <c r="C16" s="63"/>
      <c r="D16" s="60"/>
      <c r="E16" s="107"/>
      <c r="F16" s="66"/>
      <c r="G16" s="146"/>
    </row>
    <row r="17" spans="1:11" s="50" customFormat="1" ht="33.75" customHeight="1">
      <c r="B17" s="65" t="s">
        <v>3</v>
      </c>
      <c r="C17" s="63" t="s">
        <v>172</v>
      </c>
      <c r="D17" s="63"/>
      <c r="E17" s="107" t="s">
        <v>196</v>
      </c>
      <c r="F17" s="68"/>
      <c r="G17" s="148">
        <v>3775</v>
      </c>
      <c r="H17" s="360"/>
    </row>
    <row r="18" spans="1:11" s="50" customFormat="1" ht="23.25">
      <c r="B18" s="63"/>
      <c r="C18" s="106" t="s">
        <v>8</v>
      </c>
      <c r="D18" s="60"/>
      <c r="E18" s="61">
        <v>400000</v>
      </c>
      <c r="F18" s="64"/>
      <c r="G18" s="148">
        <f>8405876.11-800</f>
        <v>8405076.1099999994</v>
      </c>
      <c r="H18" s="165"/>
      <c r="I18" s="67"/>
      <c r="K18" s="71"/>
    </row>
    <row r="19" spans="1:11" s="50" customFormat="1" ht="23.25">
      <c r="B19" s="63"/>
      <c r="C19" s="106" t="s">
        <v>159</v>
      </c>
      <c r="E19" s="61">
        <v>230106</v>
      </c>
      <c r="F19" s="68"/>
      <c r="G19" s="148">
        <v>1221.96</v>
      </c>
      <c r="H19" s="67"/>
      <c r="I19" s="67"/>
      <c r="K19" s="280"/>
    </row>
    <row r="20" spans="1:11" s="50" customFormat="1" ht="23.25">
      <c r="B20" s="63"/>
      <c r="C20" s="106" t="s">
        <v>294</v>
      </c>
      <c r="E20" s="61"/>
      <c r="F20" s="68"/>
      <c r="G20" s="148">
        <v>1018.3</v>
      </c>
      <c r="H20" s="67"/>
      <c r="I20" s="67"/>
      <c r="K20" s="280"/>
    </row>
    <row r="21" spans="1:11" s="50" customFormat="1" ht="23.25">
      <c r="B21" s="63"/>
      <c r="C21" s="106" t="s">
        <v>334</v>
      </c>
      <c r="E21" s="61"/>
      <c r="F21" s="68"/>
      <c r="G21" s="148">
        <v>0</v>
      </c>
      <c r="H21" s="67"/>
      <c r="I21" s="67"/>
      <c r="K21" s="280"/>
    </row>
    <row r="22" spans="1:11" s="50" customFormat="1" ht="23.25">
      <c r="B22" s="63"/>
      <c r="C22" s="50" t="s">
        <v>223</v>
      </c>
      <c r="D22" s="60"/>
      <c r="E22" s="61"/>
      <c r="F22" s="68"/>
      <c r="G22" s="148">
        <v>10394.31</v>
      </c>
      <c r="H22" s="67"/>
      <c r="I22" s="67"/>
    </row>
    <row r="23" spans="1:11" s="50" customFormat="1" ht="23.25">
      <c r="B23" s="63"/>
      <c r="C23" s="50" t="s">
        <v>222</v>
      </c>
      <c r="D23" s="60"/>
      <c r="E23" s="61"/>
      <c r="F23" s="68"/>
      <c r="G23" s="148"/>
      <c r="H23" s="67"/>
      <c r="I23" s="67"/>
    </row>
    <row r="24" spans="1:11" s="50" customFormat="1" ht="23.25">
      <c r="B24" s="63"/>
      <c r="C24" s="50" t="s">
        <v>340</v>
      </c>
      <c r="D24" s="60"/>
      <c r="E24" s="61"/>
      <c r="F24" s="68"/>
      <c r="G24" s="148">
        <v>0</v>
      </c>
      <c r="H24" s="67"/>
      <c r="I24" s="67"/>
    </row>
    <row r="25" spans="1:11" s="50" customFormat="1" ht="23.25">
      <c r="B25" s="63"/>
      <c r="C25" s="50" t="s">
        <v>362</v>
      </c>
      <c r="D25" s="60"/>
      <c r="E25" s="61"/>
      <c r="F25" s="68"/>
      <c r="G25" s="148">
        <v>800</v>
      </c>
      <c r="H25" s="67"/>
      <c r="I25" s="67"/>
    </row>
    <row r="26" spans="1:11" s="50" customFormat="1" ht="23.25">
      <c r="B26" s="63"/>
      <c r="C26" s="63" t="s">
        <v>363</v>
      </c>
      <c r="D26" s="60"/>
      <c r="E26" s="61"/>
      <c r="F26" s="68"/>
      <c r="G26" s="148">
        <f>341000+27660</f>
        <v>368660</v>
      </c>
      <c r="H26" s="67"/>
      <c r="I26" s="67"/>
    </row>
    <row r="27" spans="1:11" s="50" customFormat="1" ht="24" customHeight="1">
      <c r="A27" s="63"/>
      <c r="B27" s="63"/>
      <c r="C27" s="63" t="s">
        <v>332</v>
      </c>
      <c r="D27" s="60"/>
      <c r="E27" s="62">
        <v>230201</v>
      </c>
      <c r="F27" s="147"/>
      <c r="G27" s="147">
        <v>0</v>
      </c>
      <c r="H27" s="67"/>
      <c r="I27" s="67"/>
    </row>
    <row r="28" spans="1:11" s="50" customFormat="1" ht="24" customHeight="1">
      <c r="A28" s="63"/>
      <c r="B28" s="63"/>
      <c r="C28" s="63" t="s">
        <v>333</v>
      </c>
      <c r="D28" s="60"/>
      <c r="E28" s="62"/>
      <c r="F28" s="147"/>
      <c r="G28" s="147">
        <v>0</v>
      </c>
      <c r="H28" s="165">
        <f>G28+G27</f>
        <v>0</v>
      </c>
      <c r="I28" s="67"/>
    </row>
    <row r="29" spans="1:11" s="50" customFormat="1" ht="24" customHeight="1">
      <c r="A29" s="63"/>
      <c r="B29" s="63"/>
      <c r="D29" s="63"/>
      <c r="E29" s="61"/>
      <c r="F29" s="350"/>
      <c r="G29" s="68"/>
      <c r="H29" s="67"/>
      <c r="I29" s="67"/>
    </row>
    <row r="30" spans="1:11" s="50" customFormat="1" ht="27.75" customHeight="1" thickBot="1">
      <c r="A30" s="63"/>
      <c r="B30" s="63"/>
      <c r="C30" s="63"/>
      <c r="D30" s="63"/>
      <c r="E30" s="284"/>
      <c r="F30" s="333">
        <f>SUM(F6:F29)</f>
        <v>8790945.6799999997</v>
      </c>
      <c r="G30" s="283">
        <f>SUM(G17:G28)</f>
        <v>8790945.6800000016</v>
      </c>
      <c r="H30" s="67"/>
      <c r="I30" s="67"/>
    </row>
    <row r="31" spans="1:11" s="50" customFormat="1" ht="30.75" customHeight="1" thickTop="1">
      <c r="B31" s="281" t="s">
        <v>160</v>
      </c>
      <c r="C31" s="63"/>
      <c r="D31" s="71" t="s">
        <v>136</v>
      </c>
      <c r="E31" s="261"/>
      <c r="F31" s="261"/>
      <c r="G31" s="282"/>
      <c r="H31" s="67"/>
      <c r="I31" s="67"/>
    </row>
    <row r="32" spans="1:11" s="50" customFormat="1" ht="23.25">
      <c r="B32" s="71"/>
      <c r="C32" s="265"/>
      <c r="D32" s="71"/>
      <c r="E32" s="71"/>
      <c r="F32" s="71"/>
      <c r="G32" s="71"/>
      <c r="H32" s="67"/>
      <c r="I32" s="67"/>
    </row>
    <row r="33" spans="1:7" s="50" customFormat="1" ht="23.25">
      <c r="A33" s="256" t="s">
        <v>35</v>
      </c>
      <c r="B33" s="256"/>
      <c r="C33" s="286"/>
      <c r="D33" s="503" t="s">
        <v>36</v>
      </c>
      <c r="E33" s="510"/>
      <c r="F33" s="503" t="s">
        <v>37</v>
      </c>
      <c r="G33" s="504"/>
    </row>
    <row r="34" spans="1:7" s="50" customFormat="1" ht="23.25">
      <c r="A34" s="52"/>
      <c r="B34" s="52"/>
      <c r="C34" s="285"/>
      <c r="D34" s="73"/>
      <c r="E34" s="52"/>
      <c r="F34" s="73"/>
      <c r="G34" s="52"/>
    </row>
    <row r="35" spans="1:7" s="63" customFormat="1" ht="45" customHeight="1">
      <c r="A35" s="69"/>
      <c r="B35" s="72"/>
      <c r="C35" s="318"/>
      <c r="D35" s="102"/>
      <c r="E35" s="72"/>
      <c r="F35" s="102"/>
      <c r="G35" s="72"/>
    </row>
    <row r="36" spans="1:7" s="50" customFormat="1" ht="27.75" customHeight="1">
      <c r="C36" s="71"/>
      <c r="D36" s="63"/>
      <c r="F36" s="51" t="s">
        <v>369</v>
      </c>
      <c r="G36" s="144" t="s">
        <v>134</v>
      </c>
    </row>
    <row r="37" spans="1:7" s="50" customFormat="1" ht="21.75" customHeight="1">
      <c r="B37" s="52"/>
      <c r="C37" s="71"/>
      <c r="D37" s="52"/>
      <c r="E37" s="53" t="s">
        <v>7</v>
      </c>
      <c r="F37" s="75" t="str">
        <f>F2</f>
        <v>30  ตุลาคม  2559</v>
      </c>
      <c r="G37" s="63"/>
    </row>
    <row r="38" spans="1:7" s="50" customFormat="1" ht="25.5" customHeight="1">
      <c r="A38" s="457" t="s">
        <v>38</v>
      </c>
      <c r="B38" s="507" t="s">
        <v>374</v>
      </c>
      <c r="C38" s="507"/>
      <c r="D38" s="507"/>
      <c r="E38" s="507"/>
      <c r="F38" s="507"/>
      <c r="G38" s="507"/>
    </row>
    <row r="39" spans="1:7" s="50" customFormat="1" ht="21.75" customHeight="1">
      <c r="A39" s="52" t="s">
        <v>140</v>
      </c>
      <c r="B39" s="50" t="s">
        <v>2</v>
      </c>
      <c r="C39" s="255"/>
      <c r="D39" s="55"/>
      <c r="E39" s="56"/>
      <c r="F39" s="56"/>
      <c r="G39" s="56"/>
    </row>
    <row r="40" spans="1:7" s="50" customFormat="1" ht="25.5">
      <c r="A40" s="57"/>
      <c r="B40" s="58" t="s">
        <v>1</v>
      </c>
      <c r="C40" s="287"/>
      <c r="D40" s="257"/>
      <c r="E40" s="59" t="s">
        <v>5</v>
      </c>
      <c r="F40" s="58" t="s">
        <v>4</v>
      </c>
      <c r="G40" s="59" t="s">
        <v>3</v>
      </c>
    </row>
    <row r="41" spans="1:7" s="50" customFormat="1" ht="28.5" customHeight="1">
      <c r="A41" s="84" t="s">
        <v>4</v>
      </c>
      <c r="B41" s="511" t="s">
        <v>335</v>
      </c>
      <c r="C41" s="511"/>
      <c r="D41" s="285"/>
      <c r="E41" s="335">
        <v>110606</v>
      </c>
      <c r="F41" s="399">
        <v>3900</v>
      </c>
      <c r="G41" s="335"/>
    </row>
    <row r="42" spans="1:7" s="76" customFormat="1" ht="21.75" customHeight="1">
      <c r="A42" s="84"/>
      <c r="B42" s="159" t="s">
        <v>139</v>
      </c>
      <c r="C42" s="84"/>
      <c r="D42" s="78"/>
      <c r="E42" s="160">
        <v>5510000</v>
      </c>
      <c r="F42" s="399">
        <v>52463</v>
      </c>
      <c r="G42" s="321"/>
    </row>
    <row r="43" spans="1:7" s="76" customFormat="1" ht="21.75" customHeight="1">
      <c r="A43" s="84"/>
      <c r="B43" s="159" t="s">
        <v>325</v>
      </c>
      <c r="C43" s="84"/>
      <c r="D43" s="78"/>
      <c r="E43" s="160"/>
      <c r="F43" s="399">
        <f>788800+176800+62400+570+570</f>
        <v>1029140</v>
      </c>
      <c r="G43" s="321"/>
    </row>
    <row r="44" spans="1:7" s="76" customFormat="1" ht="21.75" customHeight="1">
      <c r="B44" s="159" t="s">
        <v>255</v>
      </c>
      <c r="D44" s="78"/>
      <c r="E44" s="160">
        <v>5521000</v>
      </c>
      <c r="F44" s="399">
        <v>228660</v>
      </c>
      <c r="G44" s="321"/>
    </row>
    <row r="45" spans="1:7" s="76" customFormat="1" ht="21.75" customHeight="1">
      <c r="B45" s="159" t="s">
        <v>256</v>
      </c>
      <c r="C45" s="79"/>
      <c r="D45" s="78"/>
      <c r="E45" s="160">
        <v>55220100</v>
      </c>
      <c r="F45" s="399">
        <v>301860</v>
      </c>
      <c r="G45" s="321"/>
    </row>
    <row r="46" spans="1:7" s="76" customFormat="1" ht="21.75" customHeight="1">
      <c r="B46" s="159" t="s">
        <v>326</v>
      </c>
      <c r="C46" s="79"/>
      <c r="D46" s="78"/>
      <c r="E46" s="160"/>
      <c r="F46" s="399">
        <v>60150</v>
      </c>
      <c r="G46" s="321"/>
    </row>
    <row r="47" spans="1:7" s="76" customFormat="1" ht="21.75" customHeight="1">
      <c r="B47" s="159" t="s">
        <v>26</v>
      </c>
      <c r="C47" s="79"/>
      <c r="D47" s="78"/>
      <c r="E47" s="160">
        <v>55220400</v>
      </c>
      <c r="F47" s="399">
        <v>32140</v>
      </c>
      <c r="G47" s="321"/>
    </row>
    <row r="48" spans="1:7" s="76" customFormat="1" ht="21.75" customHeight="1">
      <c r="B48" s="159" t="s">
        <v>247</v>
      </c>
      <c r="C48" s="79"/>
      <c r="D48" s="78"/>
      <c r="E48" s="160">
        <v>55220600</v>
      </c>
      <c r="F48" s="399">
        <v>152675</v>
      </c>
      <c r="G48" s="321"/>
    </row>
    <row r="49" spans="1:11" s="76" customFormat="1" ht="21.75" customHeight="1">
      <c r="B49" s="159" t="s">
        <v>327</v>
      </c>
      <c r="C49" s="79"/>
      <c r="D49" s="78"/>
      <c r="E49" s="160"/>
      <c r="F49" s="399">
        <v>11400</v>
      </c>
      <c r="G49" s="321"/>
    </row>
    <row r="50" spans="1:11" s="76" customFormat="1" ht="21.75" customHeight="1">
      <c r="B50" s="159" t="s">
        <v>27</v>
      </c>
      <c r="C50" s="79"/>
      <c r="D50" s="78"/>
      <c r="E50" s="160">
        <v>5310000</v>
      </c>
      <c r="F50" s="399">
        <v>16650</v>
      </c>
      <c r="G50" s="321"/>
    </row>
    <row r="51" spans="1:11" s="76" customFormat="1" ht="21.75" customHeight="1">
      <c r="B51" s="159" t="s">
        <v>28</v>
      </c>
      <c r="C51" s="79"/>
      <c r="D51" s="78"/>
      <c r="E51" s="160">
        <v>5532000</v>
      </c>
      <c r="F51" s="399">
        <v>176773</v>
      </c>
      <c r="G51" s="321"/>
    </row>
    <row r="52" spans="1:11" s="76" customFormat="1" ht="21.75" customHeight="1">
      <c r="B52" s="159" t="s">
        <v>29</v>
      </c>
      <c r="C52" s="79"/>
      <c r="D52" s="78"/>
      <c r="E52" s="160">
        <v>5533000</v>
      </c>
      <c r="F52" s="405">
        <f>385577.2-78000</f>
        <v>307577.2</v>
      </c>
      <c r="G52" s="321"/>
      <c r="H52" s="80">
        <f>F42+F44+F45+F47+F48+F50+F51+F52+F54</f>
        <v>1326599.1499999999</v>
      </c>
      <c r="K52" s="352"/>
    </row>
    <row r="53" spans="1:11" s="76" customFormat="1" ht="21.75" customHeight="1">
      <c r="B53" s="159" t="s">
        <v>361</v>
      </c>
      <c r="C53" s="79"/>
      <c r="D53" s="78"/>
      <c r="E53" s="160"/>
      <c r="F53" s="405">
        <v>78000</v>
      </c>
      <c r="G53" s="321"/>
      <c r="H53" s="80"/>
      <c r="K53" s="352"/>
    </row>
    <row r="54" spans="1:11" s="76" customFormat="1" ht="21.75" customHeight="1">
      <c r="B54" s="159" t="s">
        <v>30</v>
      </c>
      <c r="C54" s="79"/>
      <c r="D54" s="78"/>
      <c r="E54" s="160"/>
      <c r="F54" s="399">
        <v>57800.95</v>
      </c>
      <c r="G54" s="321"/>
      <c r="K54" s="352"/>
    </row>
    <row r="55" spans="1:11" s="76" customFormat="1" ht="21.75" customHeight="1">
      <c r="B55" s="159" t="s">
        <v>342</v>
      </c>
      <c r="C55" s="79"/>
      <c r="D55" s="78"/>
      <c r="E55" s="160"/>
      <c r="F55" s="399">
        <f>300000+7075.91+24100+44500+200000</f>
        <v>575675.90999999992</v>
      </c>
      <c r="G55" s="321"/>
      <c r="K55" s="352"/>
    </row>
    <row r="56" spans="1:11" s="76" customFormat="1" ht="21.75" customHeight="1">
      <c r="B56" s="159" t="s">
        <v>147</v>
      </c>
      <c r="C56" s="79"/>
      <c r="D56" s="78"/>
      <c r="E56" s="160">
        <v>5534000</v>
      </c>
      <c r="F56" s="399">
        <f>50000+100000+499000+496000+89500+79700</f>
        <v>1314200</v>
      </c>
      <c r="G56" s="321"/>
      <c r="J56" s="352"/>
      <c r="K56" s="352"/>
    </row>
    <row r="57" spans="1:11" s="76" customFormat="1" ht="21.75" customHeight="1">
      <c r="B57" s="159" t="s">
        <v>345</v>
      </c>
      <c r="C57" s="79"/>
      <c r="D57" s="78"/>
      <c r="E57" s="160"/>
      <c r="F57" s="399">
        <f>441000+495000+498000+496000</f>
        <v>1930000</v>
      </c>
      <c r="G57" s="321"/>
      <c r="J57" s="352"/>
      <c r="K57" s="352"/>
    </row>
    <row r="58" spans="1:11" s="76" customFormat="1" ht="21.75" customHeight="1">
      <c r="B58" s="159" t="s">
        <v>339</v>
      </c>
      <c r="C58" s="79"/>
      <c r="D58" s="78"/>
      <c r="E58" s="160"/>
      <c r="F58" s="399">
        <f>97985</f>
        <v>97985</v>
      </c>
      <c r="G58" s="321"/>
      <c r="J58" s="352"/>
      <c r="K58" s="352"/>
    </row>
    <row r="59" spans="1:11" s="76" customFormat="1" ht="21.75" customHeight="1">
      <c r="A59" s="260"/>
      <c r="B59" s="159" t="s">
        <v>148</v>
      </c>
      <c r="C59" s="79"/>
      <c r="D59" s="78"/>
      <c r="E59" s="160">
        <v>230102</v>
      </c>
      <c r="F59" s="399">
        <f>318.05+5322.57</f>
        <v>5640.62</v>
      </c>
      <c r="G59" s="321"/>
    </row>
    <row r="60" spans="1:11" s="76" customFormat="1" ht="21.75" customHeight="1">
      <c r="A60" s="260"/>
      <c r="B60" s="159" t="s">
        <v>237</v>
      </c>
      <c r="C60" s="79"/>
      <c r="D60" s="78" t="s">
        <v>341</v>
      </c>
      <c r="E60" s="160"/>
      <c r="F60" s="399">
        <f>39750+9995</f>
        <v>49745</v>
      </c>
      <c r="G60" s="321"/>
    </row>
    <row r="61" spans="1:11" s="76" customFormat="1" ht="21.75" customHeight="1">
      <c r="A61" s="260"/>
      <c r="B61" s="159" t="s">
        <v>291</v>
      </c>
      <c r="C61" s="79"/>
      <c r="D61" s="78"/>
      <c r="E61" s="160"/>
      <c r="F61" s="399">
        <f>128</f>
        <v>128</v>
      </c>
      <c r="G61" s="321"/>
      <c r="H61" s="80" t="e">
        <f>F61+F64+#REF!+F60+F59</f>
        <v>#REF!</v>
      </c>
    </row>
    <row r="62" spans="1:11" s="76" customFormat="1" ht="21.75" customHeight="1">
      <c r="A62" s="260"/>
      <c r="B62" s="159" t="s">
        <v>291</v>
      </c>
      <c r="C62" s="79"/>
      <c r="D62" s="79"/>
      <c r="E62" s="160"/>
      <c r="F62" s="399">
        <f>11660+8083</f>
        <v>19743</v>
      </c>
      <c r="G62" s="321"/>
      <c r="H62" s="80"/>
    </row>
    <row r="63" spans="1:11" s="76" customFormat="1" ht="21.75" customHeight="1">
      <c r="A63" s="260"/>
      <c r="B63" s="79" t="s">
        <v>360</v>
      </c>
      <c r="D63" s="79"/>
      <c r="E63" s="160"/>
      <c r="F63" s="399">
        <f>34018</f>
        <v>34018</v>
      </c>
      <c r="G63" s="321"/>
      <c r="H63" s="80"/>
    </row>
    <row r="64" spans="1:11" s="76" customFormat="1" ht="21.75" customHeight="1">
      <c r="A64" s="260"/>
      <c r="B64" s="79" t="s">
        <v>300</v>
      </c>
      <c r="D64" s="79"/>
      <c r="E64" s="160"/>
      <c r="F64" s="399">
        <f>30000+1000+480+1800+4000+18750+1362+1200+1800+40000+8000</f>
        <v>108392</v>
      </c>
      <c r="G64" s="321"/>
    </row>
    <row r="65" spans="1:11" s="76" customFormat="1" ht="21.75" customHeight="1">
      <c r="A65" s="260"/>
      <c r="B65" s="79" t="s">
        <v>346</v>
      </c>
      <c r="D65" s="79"/>
      <c r="E65" s="160"/>
      <c r="F65" s="399">
        <v>340</v>
      </c>
      <c r="G65" s="321"/>
    </row>
    <row r="66" spans="1:11" s="76" customFormat="1" ht="21.75" customHeight="1">
      <c r="A66" s="260"/>
      <c r="B66" s="79" t="s">
        <v>347</v>
      </c>
      <c r="D66" s="79"/>
      <c r="E66" s="160"/>
      <c r="F66" s="399">
        <v>100000</v>
      </c>
      <c r="G66" s="321"/>
    </row>
    <row r="67" spans="1:11" s="76" customFormat="1" ht="21.75" customHeight="1">
      <c r="A67" s="260"/>
      <c r="B67" s="79" t="s">
        <v>122</v>
      </c>
      <c r="D67" s="79"/>
      <c r="E67" s="160"/>
      <c r="F67" s="399">
        <v>288755</v>
      </c>
      <c r="G67" s="321"/>
    </row>
    <row r="68" spans="1:11" s="76" customFormat="1" ht="21.75" customHeight="1">
      <c r="A68" s="260"/>
      <c r="B68" s="79" t="s">
        <v>336</v>
      </c>
      <c r="D68" s="79"/>
      <c r="E68" s="160"/>
      <c r="F68" s="399">
        <v>0</v>
      </c>
      <c r="G68" s="321"/>
    </row>
    <row r="69" spans="1:11" s="76" customFormat="1" ht="21.75" customHeight="1">
      <c r="B69" s="161" t="s">
        <v>3</v>
      </c>
      <c r="C69" s="154" t="s">
        <v>150</v>
      </c>
      <c r="D69" s="79"/>
      <c r="E69" s="101" t="s">
        <v>195</v>
      </c>
      <c r="F69" s="162"/>
      <c r="G69" s="322">
        <v>793042.34</v>
      </c>
      <c r="H69" s="380">
        <f>G69+G70</f>
        <v>6911235.9799999995</v>
      </c>
    </row>
    <row r="70" spans="1:11" s="76" customFormat="1" ht="21.75" customHeight="1">
      <c r="B70" s="161"/>
      <c r="C70" s="154" t="s">
        <v>149</v>
      </c>
      <c r="D70" s="79"/>
      <c r="E70" s="101" t="s">
        <v>195</v>
      </c>
      <c r="F70" s="162"/>
      <c r="G70" s="322">
        <v>6118193.6399999997</v>
      </c>
    </row>
    <row r="71" spans="1:11" s="76" customFormat="1" ht="21.75" customHeight="1">
      <c r="B71" s="161"/>
      <c r="C71" s="154" t="s">
        <v>337</v>
      </c>
      <c r="D71" s="79"/>
      <c r="E71" s="101"/>
      <c r="F71" s="162"/>
      <c r="G71" s="322">
        <v>67574</v>
      </c>
    </row>
    <row r="72" spans="1:11" s="76" customFormat="1" ht="21.75" customHeight="1">
      <c r="B72" s="79"/>
      <c r="C72" s="154" t="s">
        <v>146</v>
      </c>
      <c r="D72" s="79"/>
      <c r="E72" s="101" t="s">
        <v>193</v>
      </c>
      <c r="F72" s="78"/>
      <c r="G72" s="322">
        <v>43221.7</v>
      </c>
    </row>
    <row r="73" spans="1:11" s="76" customFormat="1" ht="21.75" customHeight="1">
      <c r="B73" s="79"/>
      <c r="C73" s="154" t="s">
        <v>285</v>
      </c>
      <c r="D73" s="79"/>
      <c r="E73" s="101"/>
      <c r="F73" s="78"/>
      <c r="G73" s="322">
        <f>2872+825+7513+570</f>
        <v>11780</v>
      </c>
      <c r="I73" s="76">
        <v>0</v>
      </c>
      <c r="J73" s="76">
        <v>550</v>
      </c>
      <c r="K73" s="380">
        <f>G73+J73</f>
        <v>12330</v>
      </c>
    </row>
    <row r="74" spans="1:11" s="76" customFormat="1" ht="22.5" customHeight="1">
      <c r="A74" s="81"/>
      <c r="B74" s="81"/>
      <c r="C74" s="154"/>
      <c r="E74" s="82"/>
      <c r="F74" s="163">
        <f>SUM(F41:F73)</f>
        <v>7033811.6800000006</v>
      </c>
      <c r="G74" s="323">
        <f>SUM(G69:G73)</f>
        <v>7033811.6799999997</v>
      </c>
    </row>
    <row r="75" spans="1:11" s="50" customFormat="1" ht="24.75" customHeight="1">
      <c r="B75" s="70" t="s">
        <v>141</v>
      </c>
      <c r="C75" s="288"/>
      <c r="D75" s="156" t="s">
        <v>167</v>
      </c>
      <c r="E75" s="70"/>
      <c r="F75" s="70"/>
      <c r="G75" s="108">
        <f>F74-G74</f>
        <v>0</v>
      </c>
    </row>
    <row r="76" spans="1:11" s="50" customFormat="1" ht="34.5" customHeight="1">
      <c r="A76" s="256" t="s">
        <v>35</v>
      </c>
      <c r="B76" s="256"/>
      <c r="C76" s="334"/>
      <c r="D76" s="395" t="s">
        <v>36</v>
      </c>
      <c r="E76" s="396"/>
      <c r="F76" s="503" t="s">
        <v>37</v>
      </c>
      <c r="G76" s="504"/>
      <c r="H76" s="353">
        <f>F74-G74</f>
        <v>0</v>
      </c>
    </row>
    <row r="77" spans="1:11" s="50" customFormat="1" ht="42.75" customHeight="1">
      <c r="A77" s="318"/>
      <c r="B77" s="318"/>
      <c r="C77" s="340"/>
      <c r="D77" s="341"/>
      <c r="E77" s="318"/>
      <c r="F77" s="341"/>
      <c r="G77" s="318"/>
    </row>
    <row r="78" spans="1:11" s="50" customFormat="1" ht="28.5" customHeight="1">
      <c r="C78" s="71"/>
      <c r="F78" s="51" t="s">
        <v>368</v>
      </c>
      <c r="G78" s="144" t="s">
        <v>135</v>
      </c>
    </row>
    <row r="79" spans="1:11" s="50" customFormat="1" ht="27.75" customHeight="1">
      <c r="B79" s="52"/>
      <c r="C79" s="71"/>
      <c r="D79" s="52"/>
      <c r="E79" s="52"/>
      <c r="F79" s="109" t="str">
        <f>F2</f>
        <v>30  ตุลาคม  2559</v>
      </c>
      <c r="G79" s="149"/>
    </row>
    <row r="80" spans="1:11" s="50" customFormat="1" ht="22.5" customHeight="1">
      <c r="A80" s="457" t="s">
        <v>38</v>
      </c>
      <c r="B80" s="507" t="s">
        <v>374</v>
      </c>
      <c r="C80" s="507"/>
      <c r="D80" s="507"/>
      <c r="E80" s="507"/>
      <c r="F80" s="507"/>
      <c r="G80" s="507"/>
    </row>
    <row r="81" spans="1:8" s="50" customFormat="1" ht="22.5" customHeight="1">
      <c r="A81" s="52" t="s">
        <v>140</v>
      </c>
      <c r="B81" s="50" t="s">
        <v>2</v>
      </c>
      <c r="C81" s="255"/>
      <c r="D81" s="55"/>
      <c r="E81" s="56"/>
      <c r="F81" s="56"/>
      <c r="G81" s="56"/>
    </row>
    <row r="82" spans="1:8" s="50" customFormat="1" ht="22.5" customHeight="1">
      <c r="A82" s="57"/>
      <c r="B82" s="58" t="s">
        <v>1</v>
      </c>
      <c r="C82" s="289"/>
      <c r="D82" s="257"/>
      <c r="E82" s="59" t="s">
        <v>5</v>
      </c>
      <c r="F82" s="58" t="s">
        <v>4</v>
      </c>
      <c r="G82" s="145" t="s">
        <v>3</v>
      </c>
    </row>
    <row r="83" spans="1:8" s="76" customFormat="1" ht="22.5" customHeight="1">
      <c r="A83" s="77" t="s">
        <v>4</v>
      </c>
      <c r="B83" s="76" t="s">
        <v>8</v>
      </c>
      <c r="C83" s="266"/>
      <c r="D83" s="78"/>
      <c r="E83" s="153" t="s">
        <v>197</v>
      </c>
      <c r="F83" s="157">
        <v>8414058.1099999994</v>
      </c>
      <c r="G83" s="158"/>
    </row>
    <row r="84" spans="1:8" s="76" customFormat="1" ht="22.5" customHeight="1">
      <c r="B84" s="77" t="s">
        <v>3</v>
      </c>
      <c r="C84" s="71"/>
      <c r="D84" s="78"/>
      <c r="E84" s="153"/>
      <c r="F84" s="430"/>
      <c r="G84" s="151">
        <v>0</v>
      </c>
      <c r="H84" s="80"/>
    </row>
    <row r="85" spans="1:8" s="76" customFormat="1" ht="22.5" customHeight="1">
      <c r="B85" s="79"/>
      <c r="C85" s="79" t="s">
        <v>62</v>
      </c>
      <c r="D85" s="78"/>
      <c r="E85" s="153" t="s">
        <v>181</v>
      </c>
      <c r="F85" s="150"/>
      <c r="G85" s="151">
        <v>0</v>
      </c>
    </row>
    <row r="86" spans="1:8" s="76" customFormat="1" ht="22.5" customHeight="1">
      <c r="B86" s="79"/>
      <c r="C86" s="79" t="s">
        <v>63</v>
      </c>
      <c r="D86" s="78"/>
      <c r="E86" s="153" t="s">
        <v>182</v>
      </c>
      <c r="F86" s="150"/>
      <c r="G86" s="151">
        <v>7731.43</v>
      </c>
    </row>
    <row r="87" spans="1:8" s="76" customFormat="1" ht="22.5" customHeight="1">
      <c r="B87" s="79"/>
      <c r="C87" s="79" t="s">
        <v>64</v>
      </c>
      <c r="D87" s="78"/>
      <c r="E87" s="153" t="s">
        <v>183</v>
      </c>
      <c r="F87" s="150"/>
      <c r="G87" s="151">
        <v>0</v>
      </c>
    </row>
    <row r="88" spans="1:8" s="76" customFormat="1" ht="22.5" customHeight="1">
      <c r="B88" s="79"/>
      <c r="C88" s="79" t="s">
        <v>301</v>
      </c>
      <c r="D88" s="78"/>
      <c r="E88" s="153" t="s">
        <v>371</v>
      </c>
      <c r="F88" s="150"/>
      <c r="G88" s="151">
        <v>0</v>
      </c>
    </row>
    <row r="89" spans="1:8" s="76" customFormat="1" ht="22.5" customHeight="1">
      <c r="B89" s="79"/>
      <c r="C89" s="79" t="s">
        <v>144</v>
      </c>
      <c r="D89" s="254"/>
      <c r="E89" s="153" t="s">
        <v>231</v>
      </c>
      <c r="F89" s="150"/>
      <c r="G89" s="151">
        <v>0</v>
      </c>
    </row>
    <row r="90" spans="1:8" s="76" customFormat="1" ht="22.5" customHeight="1">
      <c r="B90" s="79"/>
      <c r="C90" s="259" t="s">
        <v>161</v>
      </c>
      <c r="D90" s="78"/>
      <c r="E90" s="153" t="s">
        <v>184</v>
      </c>
      <c r="F90" s="150"/>
      <c r="G90" s="151">
        <v>584541.46</v>
      </c>
    </row>
    <row r="91" spans="1:8" s="76" customFormat="1" ht="22.5" customHeight="1">
      <c r="B91" s="79"/>
      <c r="C91" s="79" t="s">
        <v>56</v>
      </c>
      <c r="D91" s="78"/>
      <c r="E91" s="153" t="s">
        <v>232</v>
      </c>
      <c r="F91" s="150"/>
      <c r="G91" s="151">
        <v>0</v>
      </c>
    </row>
    <row r="92" spans="1:8" s="76" customFormat="1" ht="22.5" customHeight="1">
      <c r="B92" s="79"/>
      <c r="C92" s="79" t="s">
        <v>57</v>
      </c>
      <c r="D92" s="78"/>
      <c r="E92" s="153" t="s">
        <v>185</v>
      </c>
      <c r="F92" s="150"/>
      <c r="G92" s="151">
        <v>162868.29999999999</v>
      </c>
    </row>
    <row r="93" spans="1:8" s="76" customFormat="1" ht="22.5" customHeight="1">
      <c r="B93" s="79"/>
      <c r="C93" s="79" t="s">
        <v>58</v>
      </c>
      <c r="D93" s="78"/>
      <c r="E93" s="153" t="s">
        <v>186</v>
      </c>
      <c r="F93" s="150"/>
      <c r="G93" s="151">
        <v>454314.81</v>
      </c>
    </row>
    <row r="94" spans="1:8" s="76" customFormat="1" ht="22.5" customHeight="1">
      <c r="B94" s="79"/>
      <c r="C94" s="79" t="s">
        <v>272</v>
      </c>
      <c r="D94" s="78"/>
      <c r="E94" s="153" t="s">
        <v>273</v>
      </c>
      <c r="F94" s="150"/>
      <c r="G94" s="151"/>
    </row>
    <row r="95" spans="1:8" s="76" customFormat="1" ht="22.5" customHeight="1">
      <c r="B95" s="79"/>
      <c r="C95" s="79" t="s">
        <v>59</v>
      </c>
      <c r="D95" s="78"/>
      <c r="E95" s="153" t="s">
        <v>233</v>
      </c>
      <c r="F95" s="150"/>
      <c r="G95" s="151">
        <v>0</v>
      </c>
    </row>
    <row r="96" spans="1:8" s="76" customFormat="1" ht="22.5" customHeight="1">
      <c r="B96" s="79"/>
      <c r="C96" s="79" t="s">
        <v>61</v>
      </c>
      <c r="D96" s="78"/>
      <c r="E96" s="153" t="s">
        <v>187</v>
      </c>
      <c r="F96" s="150"/>
      <c r="G96" s="151">
        <v>13570.11</v>
      </c>
    </row>
    <row r="97" spans="1:8" s="76" customFormat="1" ht="22.5" customHeight="1">
      <c r="B97" s="79"/>
      <c r="C97" s="79" t="s">
        <v>60</v>
      </c>
      <c r="D97" s="78"/>
      <c r="E97" s="153" t="s">
        <v>188</v>
      </c>
      <c r="F97" s="150"/>
      <c r="G97" s="151">
        <v>706382</v>
      </c>
    </row>
    <row r="98" spans="1:8" s="76" customFormat="1" ht="22.5" customHeight="1">
      <c r="B98" s="79"/>
      <c r="C98" s="79" t="s">
        <v>352</v>
      </c>
      <c r="D98" s="78"/>
      <c r="E98" s="153" t="s">
        <v>372</v>
      </c>
      <c r="F98" s="150"/>
      <c r="G98" s="151">
        <v>0</v>
      </c>
    </row>
    <row r="99" spans="1:8" s="76" customFormat="1" ht="22.5" customHeight="1">
      <c r="B99" s="79"/>
      <c r="C99" s="79" t="s">
        <v>142</v>
      </c>
      <c r="D99" s="78"/>
      <c r="E99" s="153" t="s">
        <v>180</v>
      </c>
      <c r="F99" s="150"/>
      <c r="G99" s="151">
        <v>8982</v>
      </c>
    </row>
    <row r="100" spans="1:8" s="76" customFormat="1" ht="22.5" customHeight="1">
      <c r="B100" s="79"/>
      <c r="C100" s="79" t="s">
        <v>162</v>
      </c>
      <c r="D100" s="78"/>
      <c r="E100" s="153" t="s">
        <v>234</v>
      </c>
      <c r="F100" s="150"/>
      <c r="G100" s="151">
        <v>0</v>
      </c>
    </row>
    <row r="101" spans="1:8" s="76" customFormat="1" ht="22.5" customHeight="1">
      <c r="B101" s="79"/>
      <c r="C101" s="79" t="s">
        <v>163</v>
      </c>
      <c r="D101" s="78"/>
      <c r="E101" s="153" t="s">
        <v>189</v>
      </c>
      <c r="F101" s="150"/>
      <c r="G101" s="151">
        <v>0</v>
      </c>
    </row>
    <row r="102" spans="1:8" s="76" customFormat="1" ht="22.5" customHeight="1">
      <c r="B102" s="79"/>
      <c r="C102" s="79" t="s">
        <v>289</v>
      </c>
      <c r="D102" s="78"/>
      <c r="E102" s="153" t="s">
        <v>373</v>
      </c>
      <c r="F102" s="150"/>
      <c r="G102" s="151">
        <v>38536</v>
      </c>
    </row>
    <row r="103" spans="1:8" s="76" customFormat="1" ht="22.5" customHeight="1">
      <c r="B103" s="79"/>
      <c r="C103" s="79" t="s">
        <v>235</v>
      </c>
      <c r="D103" s="78"/>
      <c r="E103" s="153" t="s">
        <v>236</v>
      </c>
      <c r="F103" s="150"/>
      <c r="G103" s="151">
        <v>190</v>
      </c>
    </row>
    <row r="104" spans="1:8" s="76" customFormat="1" ht="22.5" customHeight="1">
      <c r="B104" s="79"/>
      <c r="C104" s="79" t="s">
        <v>164</v>
      </c>
      <c r="D104" s="78"/>
      <c r="E104" s="153" t="s">
        <v>190</v>
      </c>
      <c r="F104" s="150"/>
      <c r="G104" s="151">
        <v>0</v>
      </c>
    </row>
    <row r="105" spans="1:8" s="76" customFormat="1" ht="22.5" customHeight="1">
      <c r="B105" s="79"/>
      <c r="C105" s="79" t="s">
        <v>88</v>
      </c>
      <c r="D105" s="78"/>
      <c r="E105" s="153" t="s">
        <v>191</v>
      </c>
      <c r="F105" s="79"/>
      <c r="G105" s="151">
        <v>0</v>
      </c>
    </row>
    <row r="106" spans="1:8" s="76" customFormat="1" ht="22.5" customHeight="1">
      <c r="B106" s="79"/>
      <c r="C106" s="79" t="s">
        <v>21</v>
      </c>
      <c r="D106" s="79"/>
      <c r="E106" s="153" t="s">
        <v>192</v>
      </c>
      <c r="F106" s="79"/>
      <c r="G106" s="151">
        <v>3040</v>
      </c>
    </row>
    <row r="107" spans="1:8" s="76" customFormat="1" ht="22.5" customHeight="1">
      <c r="B107" s="79"/>
      <c r="C107" s="79" t="s">
        <v>71</v>
      </c>
      <c r="D107" s="79"/>
      <c r="E107" s="153"/>
      <c r="F107" s="79"/>
      <c r="G107" s="151">
        <v>2171070</v>
      </c>
    </row>
    <row r="108" spans="1:8" s="76" customFormat="1" ht="22.5" customHeight="1">
      <c r="A108" s="76" t="s">
        <v>365</v>
      </c>
      <c r="B108" s="79"/>
      <c r="C108" s="79" t="s">
        <v>71</v>
      </c>
      <c r="D108" s="79"/>
      <c r="E108" s="153"/>
      <c r="F108" s="79"/>
      <c r="G108" s="151">
        <v>261082</v>
      </c>
    </row>
    <row r="109" spans="1:8" s="76" customFormat="1" ht="22.5" customHeight="1">
      <c r="A109" s="76" t="s">
        <v>366</v>
      </c>
      <c r="B109" s="79"/>
      <c r="C109" s="79" t="s">
        <v>71</v>
      </c>
      <c r="D109" s="79"/>
      <c r="E109" s="153"/>
      <c r="F109" s="79"/>
      <c r="G109" s="151">
        <v>566300</v>
      </c>
    </row>
    <row r="110" spans="1:8" s="76" customFormat="1" ht="22.5" customHeight="1">
      <c r="A110" s="76" t="s">
        <v>367</v>
      </c>
      <c r="B110" s="79"/>
      <c r="C110" s="79" t="s">
        <v>71</v>
      </c>
      <c r="D110" s="79"/>
      <c r="E110" s="153"/>
      <c r="F110" s="79"/>
      <c r="G110" s="151">
        <v>7500</v>
      </c>
    </row>
    <row r="111" spans="1:8" s="76" customFormat="1" ht="22.5" customHeight="1">
      <c r="A111" s="76" t="s">
        <v>263</v>
      </c>
      <c r="B111" s="79"/>
      <c r="C111" s="79" t="s">
        <v>71</v>
      </c>
      <c r="D111" s="79"/>
      <c r="E111" s="153"/>
      <c r="F111" s="79"/>
      <c r="G111" s="151">
        <v>34200</v>
      </c>
      <c r="H111" s="80"/>
    </row>
    <row r="112" spans="1:8" s="76" customFormat="1" ht="22.5" customHeight="1">
      <c r="A112" s="364" t="s">
        <v>263</v>
      </c>
      <c r="B112" s="76" t="s">
        <v>261</v>
      </c>
      <c r="C112" s="79" t="s">
        <v>71</v>
      </c>
      <c r="D112" s="79"/>
      <c r="E112" s="153" t="s">
        <v>260</v>
      </c>
      <c r="F112" s="79"/>
      <c r="G112" s="151">
        <v>1710</v>
      </c>
    </row>
    <row r="113" spans="1:8" s="76" customFormat="1" ht="22.5" customHeight="1">
      <c r="A113" s="76" t="s">
        <v>262</v>
      </c>
      <c r="B113" s="79"/>
      <c r="C113" s="79" t="s">
        <v>71</v>
      </c>
      <c r="D113" s="79"/>
      <c r="E113" s="153" t="s">
        <v>259</v>
      </c>
      <c r="F113" s="79"/>
      <c r="G113" s="151">
        <v>182940</v>
      </c>
      <c r="H113" s="80">
        <f>SUM(G93:G113)</f>
        <v>4449816.92</v>
      </c>
    </row>
    <row r="114" spans="1:8" s="76" customFormat="1" ht="22.5" customHeight="1">
      <c r="A114" s="76" t="s">
        <v>304</v>
      </c>
      <c r="B114" s="79"/>
      <c r="C114" s="79" t="s">
        <v>71</v>
      </c>
      <c r="D114" s="79"/>
      <c r="E114" s="153"/>
      <c r="F114" s="79"/>
      <c r="G114" s="151">
        <v>120700</v>
      </c>
      <c r="H114" s="80"/>
    </row>
    <row r="115" spans="1:8" s="76" customFormat="1" ht="22.5" customHeight="1">
      <c r="A115" s="76" t="s">
        <v>239</v>
      </c>
      <c r="B115" s="79"/>
      <c r="C115" s="79" t="s">
        <v>71</v>
      </c>
      <c r="D115" s="79"/>
      <c r="E115" s="153" t="s">
        <v>238</v>
      </c>
      <c r="F115" s="79"/>
      <c r="G115" s="151">
        <v>2488400</v>
      </c>
    </row>
    <row r="116" spans="1:8" s="76" customFormat="1" ht="22.5" customHeight="1">
      <c r="A116" s="76" t="s">
        <v>257</v>
      </c>
      <c r="B116" s="79"/>
      <c r="C116" s="79" t="s">
        <v>71</v>
      </c>
      <c r="D116" s="79"/>
      <c r="E116" s="153" t="s">
        <v>242</v>
      </c>
      <c r="F116" s="79"/>
      <c r="G116" s="151">
        <v>600000</v>
      </c>
    </row>
    <row r="117" spans="1:8" s="76" customFormat="1" ht="22.5" customHeight="1">
      <c r="A117" s="81"/>
      <c r="B117" s="81"/>
      <c r="C117" s="79"/>
      <c r="E117" s="348"/>
      <c r="F117" s="347">
        <f>F83</f>
        <v>8414058.1099999994</v>
      </c>
      <c r="G117" s="152">
        <f>SUM(G83:G116)</f>
        <v>8414058.1099999994</v>
      </c>
      <c r="H117" s="164"/>
    </row>
    <row r="118" spans="1:8" s="76" customFormat="1" ht="22.5" customHeight="1">
      <c r="A118" s="262"/>
      <c r="B118" s="83" t="s">
        <v>143</v>
      </c>
      <c r="C118" s="262"/>
      <c r="D118" s="155" t="s">
        <v>129</v>
      </c>
      <c r="E118" s="83"/>
      <c r="F118" s="83"/>
      <c r="G118" s="83"/>
    </row>
    <row r="119" spans="1:8" s="76" customFormat="1" ht="22.5" customHeight="1">
      <c r="B119" s="264"/>
      <c r="C119" s="79"/>
      <c r="D119" s="84"/>
      <c r="E119" s="264"/>
      <c r="F119" s="264"/>
      <c r="G119" s="319">
        <f>G117-F117</f>
        <v>0</v>
      </c>
    </row>
    <row r="120" spans="1:8" s="76" customFormat="1">
      <c r="A120" s="258" t="s">
        <v>35</v>
      </c>
      <c r="B120" s="258"/>
      <c r="C120" s="290"/>
      <c r="D120" s="258" t="s">
        <v>36</v>
      </c>
      <c r="E120" s="397"/>
      <c r="F120" s="505" t="s">
        <v>37</v>
      </c>
      <c r="G120" s="506"/>
    </row>
    <row r="121" spans="1:8" s="76" customFormat="1">
      <c r="A121" s="77"/>
      <c r="B121" s="77"/>
      <c r="C121" s="86"/>
      <c r="D121" s="77"/>
      <c r="E121" s="77"/>
      <c r="F121" s="87"/>
      <c r="G121" s="77"/>
    </row>
    <row r="122" spans="1:8" s="76" customFormat="1">
      <c r="A122" s="79"/>
      <c r="B122" s="84"/>
      <c r="C122" s="263"/>
      <c r="D122" s="88"/>
      <c r="E122" s="84"/>
      <c r="F122" s="88"/>
      <c r="G122" s="84"/>
    </row>
    <row r="123" spans="1:8" s="76" customFormat="1">
      <c r="A123" s="81"/>
      <c r="B123" s="85"/>
      <c r="C123" s="267"/>
      <c r="D123" s="89"/>
      <c r="E123" s="85"/>
      <c r="F123" s="89"/>
      <c r="G123" s="85"/>
    </row>
    <row r="124" spans="1:8" s="50" customFormat="1" ht="23.25">
      <c r="G124" s="63"/>
    </row>
    <row r="125" spans="1:8" s="50" customFormat="1" ht="23.25">
      <c r="G125" s="63"/>
    </row>
    <row r="126" spans="1:8" s="50" customFormat="1" ht="23.25">
      <c r="G126" s="63"/>
    </row>
    <row r="127" spans="1:8" s="50" customFormat="1" ht="23.25">
      <c r="G127" s="63"/>
    </row>
    <row r="128" spans="1:8" s="76" customFormat="1" ht="22.5" customHeight="1">
      <c r="A128" s="76" t="s">
        <v>239</v>
      </c>
      <c r="B128" s="79"/>
      <c r="C128" s="79" t="s">
        <v>170</v>
      </c>
      <c r="D128" s="79"/>
      <c r="E128" s="153" t="s">
        <v>238</v>
      </c>
      <c r="F128" s="79"/>
      <c r="G128" s="151">
        <v>0</v>
      </c>
    </row>
    <row r="129" spans="1:8" s="76" customFormat="1" ht="22.5" customHeight="1">
      <c r="A129" s="76" t="s">
        <v>257</v>
      </c>
      <c r="B129" s="79"/>
      <c r="C129" s="79" t="s">
        <v>170</v>
      </c>
      <c r="D129" s="79"/>
      <c r="E129" s="153" t="s">
        <v>242</v>
      </c>
      <c r="F129" s="79"/>
      <c r="G129" s="151">
        <v>0</v>
      </c>
    </row>
    <row r="130" spans="1:8" s="76" customFormat="1" ht="22.5" customHeight="1">
      <c r="A130" s="76" t="s">
        <v>262</v>
      </c>
      <c r="B130" s="79"/>
      <c r="C130" s="79" t="s">
        <v>170</v>
      </c>
      <c r="D130" s="79"/>
      <c r="E130" s="153" t="s">
        <v>259</v>
      </c>
      <c r="F130" s="79"/>
      <c r="G130" s="151">
        <v>0</v>
      </c>
      <c r="H130" s="80">
        <f>SUM(G117:G130)</f>
        <v>8414058.1099999994</v>
      </c>
    </row>
    <row r="131" spans="1:8" s="76" customFormat="1" ht="22.5" customHeight="1">
      <c r="A131" s="358" t="s">
        <v>263</v>
      </c>
      <c r="B131" s="76" t="s">
        <v>261</v>
      </c>
      <c r="C131" s="79" t="s">
        <v>170</v>
      </c>
      <c r="D131" s="79"/>
      <c r="E131" s="153" t="s">
        <v>260</v>
      </c>
      <c r="F131" s="79"/>
      <c r="G131" s="151">
        <v>0</v>
      </c>
    </row>
    <row r="132" spans="1:8" s="76" customFormat="1" ht="22.5" customHeight="1">
      <c r="A132" s="84" t="s">
        <v>290</v>
      </c>
      <c r="B132" s="84"/>
      <c r="C132" s="79" t="s">
        <v>170</v>
      </c>
      <c r="D132" s="79"/>
      <c r="E132" s="153" t="s">
        <v>264</v>
      </c>
      <c r="F132" s="79"/>
      <c r="G132" s="151">
        <v>0</v>
      </c>
    </row>
    <row r="133" spans="1:8" s="76" customFormat="1" ht="22.5" customHeight="1">
      <c r="B133" s="79"/>
      <c r="C133" s="79" t="s">
        <v>296</v>
      </c>
      <c r="D133" s="79"/>
      <c r="E133" s="153"/>
      <c r="F133" s="79"/>
      <c r="G133" s="151">
        <v>0</v>
      </c>
    </row>
  </sheetData>
  <mergeCells count="9">
    <mergeCell ref="F76:G76"/>
    <mergeCell ref="F120:G120"/>
    <mergeCell ref="B80:G80"/>
    <mergeCell ref="B38:G38"/>
    <mergeCell ref="B3:F3"/>
    <mergeCell ref="B5:D5"/>
    <mergeCell ref="D33:E33"/>
    <mergeCell ref="F33:G33"/>
    <mergeCell ref="B41:C41"/>
  </mergeCell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31"/>
  <sheetViews>
    <sheetView topLeftCell="A25" workbookViewId="0">
      <selection activeCell="D6" sqref="D6"/>
    </sheetView>
  </sheetViews>
  <sheetFormatPr defaultRowHeight="21.75"/>
  <cols>
    <col min="1" max="1" width="8.140625" customWidth="1"/>
    <col min="2" max="2" width="31.85546875" customWidth="1"/>
    <col min="3" max="3" width="29.5703125" customWidth="1"/>
    <col min="4" max="4" width="30.42578125" customWidth="1"/>
  </cols>
  <sheetData>
    <row r="1" spans="1:9" ht="47.25" customHeight="1">
      <c r="A1" s="270"/>
      <c r="B1" s="270"/>
      <c r="C1" s="270"/>
      <c r="D1" s="270"/>
      <c r="E1" s="270"/>
      <c r="F1" s="270"/>
      <c r="G1" s="270"/>
      <c r="H1" s="270"/>
      <c r="I1" s="270"/>
    </row>
    <row r="2" spans="1:9" ht="47.25" customHeight="1">
      <c r="A2" s="270"/>
      <c r="B2" s="270"/>
      <c r="C2" s="270"/>
      <c r="D2" s="270"/>
      <c r="E2" s="270"/>
      <c r="F2" s="270"/>
      <c r="G2" s="270"/>
      <c r="H2" s="270"/>
      <c r="I2" s="270"/>
    </row>
    <row r="3" spans="1:9" ht="47.25" customHeight="1">
      <c r="A3" s="270"/>
      <c r="B3" s="270"/>
      <c r="C3" s="270"/>
      <c r="D3" s="270"/>
      <c r="E3" s="270"/>
      <c r="F3" s="270"/>
      <c r="G3" s="270"/>
      <c r="H3" s="270"/>
      <c r="I3" s="270"/>
    </row>
    <row r="4" spans="1:9" ht="33">
      <c r="A4" s="270"/>
      <c r="B4" s="270"/>
      <c r="C4" s="270"/>
      <c r="D4" s="270"/>
      <c r="E4" s="270"/>
      <c r="F4" s="270"/>
      <c r="G4" s="270"/>
      <c r="H4" s="270"/>
      <c r="I4" s="270"/>
    </row>
    <row r="5" spans="1:9" ht="33">
      <c r="A5" s="270"/>
      <c r="B5" s="270"/>
      <c r="C5" s="270"/>
      <c r="D5" s="270"/>
      <c r="E5" s="270"/>
      <c r="F5" s="270"/>
      <c r="G5" s="270"/>
      <c r="H5" s="270"/>
      <c r="I5" s="270"/>
    </row>
    <row r="6" spans="1:9" ht="33">
      <c r="A6" s="270"/>
      <c r="B6" s="270"/>
      <c r="C6" s="270"/>
      <c r="D6" s="270"/>
      <c r="E6" s="270"/>
      <c r="F6" s="270"/>
      <c r="G6" s="270"/>
      <c r="H6" s="270"/>
      <c r="I6" s="270"/>
    </row>
    <row r="7" spans="1:9" ht="33">
      <c r="A7" s="270"/>
      <c r="B7" s="270"/>
      <c r="C7" s="270"/>
      <c r="D7" s="270"/>
      <c r="E7" s="270"/>
      <c r="F7" s="270"/>
      <c r="G7" s="270"/>
      <c r="H7" s="270"/>
      <c r="I7" s="270"/>
    </row>
    <row r="8" spans="1:9" ht="33">
      <c r="A8" s="270"/>
      <c r="B8" s="270"/>
      <c r="C8" s="270"/>
      <c r="D8" s="270"/>
      <c r="E8" s="270"/>
      <c r="F8" s="270"/>
      <c r="G8" s="270"/>
      <c r="H8" s="270"/>
      <c r="I8" s="270"/>
    </row>
    <row r="9" spans="1:9" ht="33">
      <c r="A9" s="270"/>
      <c r="B9" s="270"/>
      <c r="C9" s="270"/>
      <c r="D9" s="270"/>
      <c r="E9" s="270"/>
      <c r="F9" s="270"/>
      <c r="G9" s="270"/>
      <c r="H9" s="270"/>
      <c r="I9" s="270"/>
    </row>
    <row r="10" spans="1:9" ht="33">
      <c r="A10" s="270"/>
      <c r="B10" s="270"/>
      <c r="C10" s="270"/>
      <c r="D10" s="270"/>
      <c r="E10" s="270"/>
      <c r="F10" s="270"/>
      <c r="G10" s="270"/>
      <c r="H10" s="270"/>
      <c r="I10" s="270"/>
    </row>
    <row r="11" spans="1:9" ht="33">
      <c r="A11" s="270"/>
      <c r="B11" s="270"/>
      <c r="C11" s="270"/>
      <c r="D11" s="270"/>
      <c r="E11" s="270"/>
      <c r="F11" s="270"/>
      <c r="G11" s="270"/>
      <c r="H11" s="270"/>
      <c r="I11" s="270"/>
    </row>
    <row r="12" spans="1:9" ht="33">
      <c r="A12" s="270"/>
      <c r="B12" s="270"/>
      <c r="C12" s="270"/>
      <c r="D12" s="270"/>
      <c r="E12" s="270"/>
      <c r="F12" s="270"/>
      <c r="G12" s="270"/>
      <c r="H12" s="270"/>
      <c r="I12" s="270"/>
    </row>
    <row r="13" spans="1:9" ht="33">
      <c r="A13" s="270"/>
      <c r="B13" s="270"/>
      <c r="C13" s="270"/>
      <c r="D13" s="270"/>
      <c r="E13" s="270"/>
      <c r="F13" s="270"/>
      <c r="G13" s="270"/>
      <c r="H13" s="270"/>
      <c r="I13" s="270"/>
    </row>
    <row r="14" spans="1:9" ht="33">
      <c r="A14" s="270"/>
      <c r="B14" s="270"/>
      <c r="C14" s="270"/>
      <c r="D14" s="270"/>
      <c r="E14" s="270"/>
      <c r="F14" s="270"/>
      <c r="G14" s="270"/>
      <c r="H14" s="270"/>
      <c r="I14" s="270"/>
    </row>
    <row r="15" spans="1:9" ht="33">
      <c r="A15" s="270"/>
      <c r="B15" s="270"/>
      <c r="C15" s="270"/>
      <c r="D15" s="270"/>
      <c r="E15" s="270"/>
      <c r="F15" s="270"/>
      <c r="G15" s="270"/>
      <c r="H15" s="270"/>
      <c r="I15" s="270"/>
    </row>
    <row r="16" spans="1:9" ht="33">
      <c r="A16" s="270"/>
      <c r="B16" s="270"/>
      <c r="C16" s="270"/>
      <c r="D16" s="270"/>
      <c r="E16" s="270"/>
      <c r="F16" s="270"/>
      <c r="G16" s="270"/>
      <c r="H16" s="270"/>
      <c r="I16" s="270"/>
    </row>
    <row r="17" spans="1:9" ht="33">
      <c r="A17" s="270"/>
      <c r="B17" s="270"/>
      <c r="C17" s="270"/>
      <c r="D17" s="270"/>
      <c r="E17" s="270"/>
      <c r="F17" s="270"/>
      <c r="G17" s="270"/>
      <c r="H17" s="270"/>
      <c r="I17" s="270"/>
    </row>
    <row r="18" spans="1:9" ht="33">
      <c r="A18" s="270"/>
      <c r="B18" s="270"/>
      <c r="C18" s="270"/>
      <c r="D18" s="270"/>
      <c r="E18" s="270"/>
      <c r="F18" s="270"/>
      <c r="G18" s="270"/>
      <c r="H18" s="270"/>
      <c r="I18" s="270"/>
    </row>
    <row r="19" spans="1:9" ht="33">
      <c r="A19" s="270"/>
      <c r="B19" s="270"/>
      <c r="C19" s="270"/>
      <c r="D19" s="270"/>
      <c r="E19" s="270"/>
      <c r="F19" s="270"/>
      <c r="G19" s="270"/>
      <c r="H19" s="270"/>
      <c r="I19" s="270"/>
    </row>
    <row r="20" spans="1:9" ht="33">
      <c r="A20" s="270"/>
      <c r="B20" s="270"/>
      <c r="C20" s="270"/>
      <c r="D20" s="270"/>
      <c r="E20" s="270"/>
      <c r="F20" s="270"/>
      <c r="G20" s="270"/>
      <c r="H20" s="270"/>
      <c r="I20" s="270"/>
    </row>
    <row r="21" spans="1:9" ht="33">
      <c r="A21" s="270"/>
      <c r="B21" s="270"/>
      <c r="C21" s="270"/>
      <c r="D21" s="270"/>
      <c r="E21" s="270"/>
      <c r="F21" s="270"/>
      <c r="G21" s="270"/>
      <c r="H21" s="270"/>
      <c r="I21" s="270"/>
    </row>
    <row r="22" spans="1:9" ht="33">
      <c r="A22" s="270"/>
      <c r="B22" s="270"/>
      <c r="C22" s="270"/>
      <c r="D22" s="270"/>
      <c r="E22" s="270"/>
      <c r="F22" s="270"/>
      <c r="G22" s="270"/>
      <c r="H22" s="270"/>
      <c r="I22" s="270"/>
    </row>
    <row r="23" spans="1:9" ht="33">
      <c r="A23" s="270"/>
      <c r="B23" s="270"/>
      <c r="C23" s="270"/>
      <c r="D23" s="270"/>
      <c r="E23" s="270"/>
      <c r="F23" s="270"/>
      <c r="G23" s="270"/>
      <c r="H23" s="270"/>
      <c r="I23" s="270"/>
    </row>
    <row r="24" spans="1:9" ht="33">
      <c r="A24" s="270"/>
      <c r="B24" s="270"/>
      <c r="C24" s="270"/>
      <c r="D24" s="270"/>
      <c r="E24" s="270"/>
      <c r="F24" s="270"/>
      <c r="G24" s="270"/>
      <c r="H24" s="270"/>
      <c r="I24" s="270"/>
    </row>
    <row r="25" spans="1:9" ht="33">
      <c r="A25" s="270"/>
      <c r="B25" s="270"/>
      <c r="C25" s="270"/>
      <c r="D25" s="270"/>
      <c r="E25" s="270"/>
      <c r="F25" s="270"/>
      <c r="G25" s="270"/>
      <c r="H25" s="270"/>
      <c r="I25" s="270"/>
    </row>
    <row r="26" spans="1:9" ht="33">
      <c r="A26" s="270"/>
      <c r="B26" s="270"/>
      <c r="C26" s="270"/>
      <c r="D26" s="270"/>
      <c r="E26" s="270"/>
      <c r="F26" s="270"/>
      <c r="G26" s="270"/>
      <c r="H26" s="270"/>
      <c r="I26" s="270"/>
    </row>
    <row r="27" spans="1:9" ht="33">
      <c r="A27" s="270"/>
      <c r="B27" s="270"/>
      <c r="C27" s="270"/>
      <c r="D27" s="270"/>
      <c r="E27" s="270"/>
      <c r="F27" s="270"/>
      <c r="G27" s="270"/>
      <c r="H27" s="270"/>
      <c r="I27" s="270"/>
    </row>
    <row r="28" spans="1:9" ht="33">
      <c r="A28" s="270"/>
      <c r="B28" s="270"/>
      <c r="C28" s="270"/>
      <c r="D28" s="270"/>
      <c r="E28" s="270"/>
      <c r="F28" s="270"/>
      <c r="G28" s="270"/>
      <c r="H28" s="270"/>
      <c r="I28" s="270"/>
    </row>
    <row r="29" spans="1:9" ht="33">
      <c r="A29" s="270"/>
      <c r="B29" s="270"/>
      <c r="C29" s="270"/>
      <c r="D29" s="270"/>
      <c r="E29" s="270"/>
      <c r="F29" s="270"/>
      <c r="G29" s="270"/>
      <c r="H29" s="270"/>
      <c r="I29" s="270"/>
    </row>
    <row r="30" spans="1:9" ht="33">
      <c r="A30" s="270"/>
      <c r="B30" s="270"/>
      <c r="C30" s="270"/>
      <c r="D30" s="270"/>
      <c r="E30" s="270"/>
      <c r="F30" s="270"/>
      <c r="G30" s="270"/>
      <c r="H30" s="270"/>
      <c r="I30" s="270"/>
    </row>
    <row r="31" spans="1:9" ht="33">
      <c r="A31" s="270"/>
      <c r="B31" s="270"/>
      <c r="C31" s="270"/>
      <c r="D31" s="270"/>
      <c r="E31" s="270"/>
      <c r="F31" s="270"/>
      <c r="G31" s="270"/>
      <c r="H31" s="270"/>
      <c r="I31" s="270"/>
    </row>
  </sheetData>
  <phoneticPr fontId="0" type="noConversion"/>
  <pageMargins left="0.5" right="0.5" top="0.5" bottom="0.5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9"/>
  <sheetViews>
    <sheetView topLeftCell="A16" zoomScale="80" zoomScaleNormal="80" zoomScaleSheetLayoutView="100" workbookViewId="0">
      <selection activeCell="F127" sqref="F127"/>
    </sheetView>
  </sheetViews>
  <sheetFormatPr defaultRowHeight="23.25"/>
  <cols>
    <col min="1" max="1" width="9.5703125" style="50" customWidth="1"/>
    <col min="2" max="2" width="11.28515625" style="50" customWidth="1"/>
    <col min="3" max="3" width="15.42578125" style="50" customWidth="1"/>
    <col min="4" max="4" width="29.85546875" style="50" customWidth="1"/>
    <col min="5" max="5" width="8.85546875" style="50" bestFit="1" customWidth="1"/>
    <col min="6" max="6" width="21" style="50" customWidth="1"/>
    <col min="7" max="7" width="21" style="63" customWidth="1"/>
    <col min="8" max="8" width="20.5703125" style="50" customWidth="1"/>
    <col min="9" max="9" width="13.28515625" style="50" customWidth="1"/>
    <col min="10" max="10" width="20.42578125" style="50" customWidth="1"/>
    <col min="11" max="11" width="15.5703125" style="50" customWidth="1"/>
    <col min="12" max="16384" width="9.140625" style="50"/>
  </cols>
  <sheetData>
    <row r="1" spans="1:10">
      <c r="F1" s="51" t="s">
        <v>422</v>
      </c>
      <c r="G1" s="144" t="s">
        <v>133</v>
      </c>
    </row>
    <row r="2" spans="1:10">
      <c r="B2" s="52"/>
      <c r="C2" s="52"/>
      <c r="D2" s="52"/>
      <c r="E2" s="53"/>
      <c r="F2" s="54" t="s">
        <v>423</v>
      </c>
    </row>
    <row r="3" spans="1:10" ht="25.5">
      <c r="B3" s="507" t="s">
        <v>38</v>
      </c>
      <c r="C3" s="507"/>
      <c r="D3" s="507"/>
      <c r="E3" s="507"/>
      <c r="F3" s="507"/>
    </row>
    <row r="4" spans="1:10">
      <c r="A4" s="52" t="s">
        <v>140</v>
      </c>
      <c r="B4" s="50" t="s">
        <v>2</v>
      </c>
      <c r="D4" s="55"/>
      <c r="E4" s="56"/>
      <c r="F4" s="56"/>
      <c r="G4" s="56"/>
    </row>
    <row r="5" spans="1:10">
      <c r="A5" s="57"/>
      <c r="B5" s="508" t="s">
        <v>1</v>
      </c>
      <c r="C5" s="508"/>
      <c r="D5" s="509"/>
      <c r="E5" s="59" t="s">
        <v>5</v>
      </c>
      <c r="F5" s="58" t="s">
        <v>4</v>
      </c>
      <c r="G5" s="145" t="s">
        <v>3</v>
      </c>
    </row>
    <row r="6" spans="1:10">
      <c r="A6" s="52" t="s">
        <v>4</v>
      </c>
      <c r="B6" s="51" t="s">
        <v>171</v>
      </c>
      <c r="C6" s="71"/>
      <c r="D6" s="71"/>
      <c r="E6" s="61">
        <v>110100</v>
      </c>
      <c r="F6" s="217"/>
      <c r="G6" s="479"/>
    </row>
    <row r="7" spans="1:10">
      <c r="A7" s="52"/>
      <c r="B7" s="106" t="s">
        <v>244</v>
      </c>
      <c r="C7" s="1"/>
      <c r="D7" s="1"/>
      <c r="E7" s="61"/>
      <c r="F7" s="217"/>
      <c r="G7" s="335"/>
      <c r="H7" s="353"/>
    </row>
    <row r="8" spans="1:10">
      <c r="A8" s="52"/>
      <c r="B8" s="106" t="s">
        <v>269</v>
      </c>
      <c r="C8" s="1"/>
      <c r="D8" s="1"/>
      <c r="E8" s="61"/>
      <c r="F8" s="217"/>
      <c r="G8" s="335"/>
      <c r="J8" s="361"/>
    </row>
    <row r="9" spans="1:10">
      <c r="B9" s="106" t="s">
        <v>153</v>
      </c>
      <c r="C9" s="1"/>
      <c r="D9" s="1"/>
      <c r="E9" s="61">
        <v>110201</v>
      </c>
      <c r="F9" s="66">
        <v>9522076.1600000001</v>
      </c>
      <c r="G9" s="472" t="s">
        <v>344</v>
      </c>
    </row>
    <row r="10" spans="1:10">
      <c r="B10" s="106" t="s">
        <v>266</v>
      </c>
      <c r="C10" s="1"/>
      <c r="D10" s="1"/>
      <c r="E10" s="61">
        <v>110201</v>
      </c>
      <c r="F10" s="66">
        <v>0</v>
      </c>
      <c r="G10" s="472"/>
    </row>
    <row r="11" spans="1:10">
      <c r="B11" s="106" t="s">
        <v>267</v>
      </c>
      <c r="C11" s="1"/>
      <c r="D11" s="1"/>
      <c r="E11" s="61">
        <v>110201</v>
      </c>
      <c r="F11" s="66">
        <v>0</v>
      </c>
      <c r="G11" s="62"/>
      <c r="J11" s="361"/>
    </row>
    <row r="12" spans="1:10">
      <c r="B12" s="106" t="s">
        <v>303</v>
      </c>
      <c r="C12" s="1"/>
      <c r="D12" s="1"/>
      <c r="E12" s="61">
        <v>110201</v>
      </c>
      <c r="F12" s="66">
        <v>0</v>
      </c>
      <c r="G12" s="62"/>
    </row>
    <row r="13" spans="1:10">
      <c r="B13" s="106" t="s">
        <v>254</v>
      </c>
      <c r="C13" s="106"/>
      <c r="D13" s="106"/>
      <c r="E13" s="61">
        <v>110202</v>
      </c>
      <c r="F13" s="66">
        <v>0</v>
      </c>
      <c r="G13" s="62"/>
      <c r="H13" s="360"/>
    </row>
    <row r="14" spans="1:10">
      <c r="B14" s="106" t="s">
        <v>253</v>
      </c>
      <c r="C14" s="106"/>
      <c r="D14" s="106"/>
      <c r="E14" s="61">
        <v>110202</v>
      </c>
      <c r="F14" s="66">
        <v>0</v>
      </c>
      <c r="G14" s="62"/>
      <c r="H14" s="361"/>
    </row>
    <row r="15" spans="1:10">
      <c r="B15" s="106" t="s">
        <v>168</v>
      </c>
      <c r="C15" s="1"/>
      <c r="D15" s="1"/>
      <c r="E15" s="61">
        <v>14000</v>
      </c>
      <c r="F15" s="66">
        <f>Sheet1!F15</f>
        <v>0</v>
      </c>
      <c r="G15" s="62"/>
    </row>
    <row r="16" spans="1:10">
      <c r="B16" s="63"/>
      <c r="C16" s="63"/>
      <c r="D16" s="60"/>
      <c r="E16" s="107"/>
      <c r="F16" s="66"/>
      <c r="G16" s="62"/>
    </row>
    <row r="17" spans="1:11" ht="33.75" customHeight="1">
      <c r="B17" s="65" t="s">
        <v>3</v>
      </c>
      <c r="C17" s="63" t="s">
        <v>172</v>
      </c>
      <c r="D17" s="63"/>
      <c r="E17" s="107" t="s">
        <v>196</v>
      </c>
      <c r="F17" s="68"/>
      <c r="G17" s="66">
        <v>0</v>
      </c>
      <c r="H17" s="360"/>
    </row>
    <row r="18" spans="1:11">
      <c r="B18" s="63"/>
      <c r="C18" s="106" t="s">
        <v>8</v>
      </c>
      <c r="D18" s="60"/>
      <c r="E18" s="61">
        <v>400000</v>
      </c>
      <c r="F18" s="64"/>
      <c r="G18" s="66">
        <v>9424915.4100000001</v>
      </c>
      <c r="H18" s="165"/>
      <c r="I18" s="67"/>
      <c r="K18" s="71"/>
    </row>
    <row r="19" spans="1:11">
      <c r="B19" s="63"/>
      <c r="C19" s="106" t="s">
        <v>159</v>
      </c>
      <c r="E19" s="61">
        <v>230106</v>
      </c>
      <c r="F19" s="68"/>
      <c r="G19" s="66">
        <v>333.42</v>
      </c>
      <c r="H19" s="67"/>
      <c r="I19" s="67"/>
      <c r="K19" s="280"/>
    </row>
    <row r="20" spans="1:11">
      <c r="B20" s="63"/>
      <c r="C20" s="106" t="s">
        <v>294</v>
      </c>
      <c r="E20" s="61"/>
      <c r="F20" s="68"/>
      <c r="G20" s="66">
        <v>277.85000000000002</v>
      </c>
      <c r="H20" s="67"/>
      <c r="I20" s="67"/>
      <c r="K20" s="280"/>
    </row>
    <row r="21" spans="1:11">
      <c r="B21" s="63"/>
      <c r="C21" s="50" t="s">
        <v>223</v>
      </c>
      <c r="D21" s="60"/>
      <c r="E21" s="61"/>
      <c r="F21" s="68"/>
      <c r="G21" s="66">
        <v>206.48</v>
      </c>
      <c r="H21" s="67"/>
      <c r="I21" s="67"/>
    </row>
    <row r="22" spans="1:11">
      <c r="B22" s="63"/>
      <c r="C22" s="106" t="s">
        <v>334</v>
      </c>
      <c r="E22" s="61"/>
      <c r="F22" s="68"/>
      <c r="G22" s="66">
        <v>54275</v>
      </c>
      <c r="H22" s="67"/>
      <c r="I22" s="67"/>
      <c r="K22" s="280"/>
    </row>
    <row r="23" spans="1:11">
      <c r="B23" s="63"/>
      <c r="C23" s="63" t="s">
        <v>375</v>
      </c>
      <c r="D23" s="60"/>
      <c r="E23" s="61"/>
      <c r="F23" s="68"/>
      <c r="G23" s="66">
        <v>0</v>
      </c>
      <c r="H23" s="67"/>
      <c r="I23" s="67"/>
    </row>
    <row r="24" spans="1:11" ht="24" customHeight="1">
      <c r="A24" s="63"/>
      <c r="B24" s="63"/>
      <c r="C24" s="63" t="s">
        <v>332</v>
      </c>
      <c r="D24" s="60"/>
      <c r="E24" s="62">
        <v>230201</v>
      </c>
      <c r="F24" s="147"/>
      <c r="G24" s="472">
        <v>0</v>
      </c>
      <c r="H24" s="67"/>
      <c r="I24" s="67"/>
    </row>
    <row r="25" spans="1:11" ht="24" customHeight="1">
      <c r="A25" s="63"/>
      <c r="B25" s="63"/>
      <c r="C25" s="63" t="s">
        <v>404</v>
      </c>
      <c r="D25" s="60"/>
      <c r="E25" s="62"/>
      <c r="F25" s="147"/>
      <c r="G25" s="472">
        <v>0</v>
      </c>
      <c r="H25" s="67"/>
      <c r="I25" s="67"/>
    </row>
    <row r="26" spans="1:11" ht="24" customHeight="1">
      <c r="A26" s="63"/>
      <c r="B26" s="63"/>
      <c r="C26" s="63" t="s">
        <v>302</v>
      </c>
      <c r="D26" s="60"/>
      <c r="E26" s="61"/>
      <c r="F26" s="66"/>
      <c r="G26" s="66">
        <v>20800</v>
      </c>
      <c r="H26" s="67"/>
      <c r="I26" s="67"/>
    </row>
    <row r="27" spans="1:11" ht="24" customHeight="1">
      <c r="A27" s="63"/>
      <c r="B27" s="63"/>
      <c r="C27" s="106" t="s">
        <v>408</v>
      </c>
      <c r="E27" s="495"/>
      <c r="F27" s="66"/>
      <c r="G27" s="496">
        <v>600</v>
      </c>
      <c r="H27" s="67"/>
      <c r="I27" s="67"/>
    </row>
    <row r="28" spans="1:11" ht="27.75" customHeight="1">
      <c r="A28" s="63"/>
      <c r="B28" s="63"/>
      <c r="C28" s="63" t="s">
        <v>428</v>
      </c>
      <c r="D28" s="63"/>
      <c r="E28" s="146"/>
      <c r="F28" s="472"/>
      <c r="G28" s="473">
        <f>600+68</f>
        <v>668</v>
      </c>
      <c r="H28" s="67"/>
      <c r="I28" s="67"/>
    </row>
    <row r="29" spans="1:11" ht="24" customHeight="1">
      <c r="A29" s="63"/>
      <c r="B29" s="63"/>
      <c r="C29" s="63" t="s">
        <v>23</v>
      </c>
      <c r="D29" s="60"/>
      <c r="E29" s="62"/>
      <c r="F29" s="147"/>
      <c r="G29" s="472">
        <v>20000</v>
      </c>
      <c r="H29" s="165"/>
      <c r="I29" s="67"/>
    </row>
    <row r="30" spans="1:11" ht="27.75" customHeight="1">
      <c r="A30" s="63"/>
      <c r="B30" s="63"/>
      <c r="C30" s="63"/>
      <c r="D30" s="63"/>
      <c r="E30" s="469"/>
      <c r="F30" s="471">
        <f>SUM(F9:F28)</f>
        <v>9522076.1600000001</v>
      </c>
      <c r="G30" s="470">
        <f>SUM(G15:G29)</f>
        <v>9522076.1600000001</v>
      </c>
      <c r="H30" s="67"/>
      <c r="I30" s="67"/>
    </row>
    <row r="31" spans="1:11" ht="30.75" customHeight="1">
      <c r="B31" s="281" t="s">
        <v>160</v>
      </c>
      <c r="C31" s="63"/>
      <c r="D31" s="71" t="s">
        <v>136</v>
      </c>
      <c r="E31" s="261"/>
      <c r="F31" s="261"/>
      <c r="G31" s="282"/>
      <c r="H31" s="67"/>
      <c r="I31" s="67"/>
    </row>
    <row r="32" spans="1:11">
      <c r="B32" s="71"/>
      <c r="C32" s="265"/>
      <c r="D32" s="71"/>
      <c r="E32" s="71"/>
      <c r="F32" s="71"/>
      <c r="G32" s="71"/>
      <c r="H32" s="165"/>
      <c r="I32" s="67"/>
    </row>
    <row r="33" spans="1:7">
      <c r="A33" s="504" t="s">
        <v>35</v>
      </c>
      <c r="B33" s="504"/>
      <c r="C33" s="510"/>
      <c r="D33" s="503" t="s">
        <v>36</v>
      </c>
      <c r="E33" s="510"/>
      <c r="F33" s="503" t="s">
        <v>37</v>
      </c>
      <c r="G33" s="504"/>
    </row>
    <row r="34" spans="1:7">
      <c r="A34" s="52"/>
      <c r="B34" s="52"/>
      <c r="C34" s="285"/>
      <c r="D34" s="73"/>
      <c r="E34" s="52"/>
      <c r="F34" s="73"/>
      <c r="G34" s="52"/>
    </row>
    <row r="35" spans="1:7" s="63" customFormat="1" ht="45" customHeight="1">
      <c r="A35" s="69"/>
      <c r="B35" s="72"/>
      <c r="C35" s="318"/>
      <c r="D35" s="102"/>
      <c r="E35" s="72"/>
      <c r="F35" s="102"/>
      <c r="G35" s="72"/>
    </row>
    <row r="36" spans="1:7" ht="27.75" customHeight="1">
      <c r="C36" s="71"/>
      <c r="D36" s="63"/>
      <c r="F36" s="51" t="s">
        <v>424</v>
      </c>
      <c r="G36" s="144" t="s">
        <v>134</v>
      </c>
    </row>
    <row r="37" spans="1:7" ht="21.75" customHeight="1">
      <c r="B37" s="52"/>
      <c r="C37" s="71"/>
      <c r="D37" s="52"/>
      <c r="E37" s="53" t="s">
        <v>7</v>
      </c>
      <c r="F37" s="75" t="str">
        <f>F2</f>
        <v>31   กรกฎาคม 2561</v>
      </c>
    </row>
    <row r="38" spans="1:7" ht="25.5" customHeight="1">
      <c r="A38" s="507" t="s">
        <v>38</v>
      </c>
      <c r="B38" s="507"/>
      <c r="C38" s="507"/>
      <c r="D38" s="507"/>
      <c r="E38" s="507"/>
      <c r="F38" s="507"/>
      <c r="G38" s="507"/>
    </row>
    <row r="39" spans="1:7" ht="21.75" customHeight="1">
      <c r="A39" s="52" t="s">
        <v>140</v>
      </c>
      <c r="B39" s="50" t="s">
        <v>2</v>
      </c>
      <c r="C39" s="255"/>
      <c r="D39" s="55"/>
      <c r="E39" s="56"/>
      <c r="F39" s="56"/>
      <c r="G39" s="56"/>
    </row>
    <row r="40" spans="1:7" ht="25.5">
      <c r="A40" s="57"/>
      <c r="B40" s="58" t="s">
        <v>1</v>
      </c>
      <c r="C40" s="287"/>
      <c r="D40" s="257"/>
      <c r="E40" s="59" t="s">
        <v>5</v>
      </c>
      <c r="F40" s="58" t="s">
        <v>4</v>
      </c>
      <c r="G40" s="59" t="s">
        <v>3</v>
      </c>
    </row>
    <row r="41" spans="1:7" ht="28.5" customHeight="1">
      <c r="A41" s="84" t="s">
        <v>4</v>
      </c>
      <c r="B41" s="511" t="s">
        <v>335</v>
      </c>
      <c r="C41" s="511"/>
      <c r="D41" s="285"/>
      <c r="E41" s="335">
        <v>110606</v>
      </c>
      <c r="F41" s="399">
        <f>295600+105600+321600</f>
        <v>722800</v>
      </c>
      <c r="G41" s="335"/>
    </row>
    <row r="42" spans="1:7" s="76" customFormat="1" ht="21.75" customHeight="1">
      <c r="A42" s="84"/>
      <c r="B42" s="159" t="s">
        <v>139</v>
      </c>
      <c r="C42" s="84"/>
      <c r="D42" s="78"/>
      <c r="E42" s="160">
        <v>5510000</v>
      </c>
      <c r="F42" s="399">
        <v>728131</v>
      </c>
      <c r="G42" s="321"/>
    </row>
    <row r="43" spans="1:7" s="76" customFormat="1" ht="21.75" customHeight="1">
      <c r="B43" s="159" t="s">
        <v>255</v>
      </c>
      <c r="D43" s="78"/>
      <c r="E43" s="160">
        <v>5521000</v>
      </c>
      <c r="F43" s="399">
        <v>221460</v>
      </c>
      <c r="G43" s="321"/>
    </row>
    <row r="44" spans="1:7" s="76" customFormat="1" ht="21.75" customHeight="1">
      <c r="B44" s="159" t="s">
        <v>256</v>
      </c>
      <c r="C44" s="79"/>
      <c r="D44" s="78"/>
      <c r="E44" s="160">
        <v>55220100</v>
      </c>
      <c r="F44" s="399">
        <v>484595</v>
      </c>
      <c r="G44" s="321"/>
    </row>
    <row r="45" spans="1:7" s="76" customFormat="1" ht="21.75" customHeight="1">
      <c r="B45" s="159" t="s">
        <v>26</v>
      </c>
      <c r="C45" s="79"/>
      <c r="D45" s="78"/>
      <c r="E45" s="160">
        <v>55220400</v>
      </c>
      <c r="F45" s="399">
        <v>35750</v>
      </c>
      <c r="G45" s="321"/>
    </row>
    <row r="46" spans="1:7" s="76" customFormat="1" ht="21.75" customHeight="1">
      <c r="B46" s="159" t="s">
        <v>247</v>
      </c>
      <c r="C46" s="79"/>
      <c r="D46" s="78"/>
      <c r="E46" s="160">
        <v>55220600</v>
      </c>
      <c r="F46" s="399">
        <v>279045</v>
      </c>
      <c r="G46" s="321"/>
    </row>
    <row r="47" spans="1:7" s="76" customFormat="1" ht="21.75" customHeight="1">
      <c r="B47" s="159" t="s">
        <v>27</v>
      </c>
      <c r="C47" s="79"/>
      <c r="D47" s="78"/>
      <c r="E47" s="160">
        <v>5310000</v>
      </c>
      <c r="F47" s="399">
        <v>12200</v>
      </c>
      <c r="G47" s="321"/>
    </row>
    <row r="48" spans="1:7" s="76" customFormat="1" ht="21.75" customHeight="1">
      <c r="B48" s="159" t="s">
        <v>28</v>
      </c>
      <c r="C48" s="79"/>
      <c r="D48" s="78"/>
      <c r="E48" s="160">
        <v>5532000</v>
      </c>
      <c r="F48" s="399">
        <v>450763.44</v>
      </c>
      <c r="G48" s="321"/>
    </row>
    <row r="49" spans="1:11" s="76" customFormat="1" ht="21.75" customHeight="1">
      <c r="B49" s="159" t="s">
        <v>29</v>
      </c>
      <c r="C49" s="79"/>
      <c r="D49" s="78"/>
      <c r="E49" s="160">
        <v>5533000</v>
      </c>
      <c r="F49" s="405">
        <v>104204.72</v>
      </c>
      <c r="G49" s="321"/>
      <c r="H49" s="80"/>
      <c r="K49" s="352"/>
    </row>
    <row r="50" spans="1:11" s="76" customFormat="1" ht="21.75" customHeight="1">
      <c r="B50" s="159" t="s">
        <v>30</v>
      </c>
      <c r="C50" s="79"/>
      <c r="D50" s="78"/>
      <c r="E50" s="160"/>
      <c r="F50" s="399">
        <v>37610.550000000003</v>
      </c>
      <c r="G50" s="321"/>
      <c r="K50" s="352"/>
    </row>
    <row r="51" spans="1:11" s="76" customFormat="1" ht="21.75" customHeight="1">
      <c r="B51" s="159" t="s">
        <v>342</v>
      </c>
      <c r="C51" s="79"/>
      <c r="D51" s="78"/>
      <c r="E51" s="160"/>
      <c r="F51" s="399">
        <v>122500</v>
      </c>
      <c r="G51" s="321"/>
      <c r="K51" s="352"/>
    </row>
    <row r="52" spans="1:11" s="76" customFormat="1" ht="21.75" customHeight="1">
      <c r="B52" s="159" t="s">
        <v>147</v>
      </c>
      <c r="C52" s="79"/>
      <c r="D52" s="78"/>
      <c r="E52" s="160">
        <v>5534000</v>
      </c>
      <c r="F52" s="399">
        <v>1625000</v>
      </c>
      <c r="G52" s="321"/>
      <c r="J52" s="352"/>
      <c r="K52" s="352"/>
    </row>
    <row r="53" spans="1:11" s="76" customFormat="1" ht="21.75" customHeight="1">
      <c r="B53" s="159" t="s">
        <v>339</v>
      </c>
      <c r="C53" s="79"/>
      <c r="D53" s="78"/>
      <c r="E53" s="160"/>
      <c r="F53" s="399">
        <v>480000</v>
      </c>
      <c r="G53" s="321"/>
      <c r="J53" s="352"/>
      <c r="K53" s="352"/>
    </row>
    <row r="54" spans="1:11" s="76" customFormat="1" ht="21.75" customHeight="1">
      <c r="A54" s="260"/>
      <c r="B54" s="159" t="s">
        <v>148</v>
      </c>
      <c r="C54" s="79"/>
      <c r="D54" s="78"/>
      <c r="E54" s="160">
        <v>230102</v>
      </c>
      <c r="F54" s="399">
        <v>32476.83</v>
      </c>
      <c r="G54" s="321"/>
    </row>
    <row r="55" spans="1:11" s="76" customFormat="1" ht="21.75" customHeight="1">
      <c r="A55" s="260"/>
      <c r="B55" s="159" t="s">
        <v>384</v>
      </c>
      <c r="C55" s="79"/>
      <c r="D55" s="78"/>
      <c r="E55" s="160"/>
      <c r="F55" s="399">
        <v>145750</v>
      </c>
      <c r="G55" s="321"/>
    </row>
    <row r="56" spans="1:11" s="76" customFormat="1" ht="21.75" customHeight="1">
      <c r="A56" s="260"/>
      <c r="B56" s="159" t="s">
        <v>291</v>
      </c>
      <c r="C56" s="79"/>
      <c r="D56" s="78"/>
      <c r="E56" s="160"/>
      <c r="F56" s="399">
        <v>13771</v>
      </c>
      <c r="G56" s="321"/>
      <c r="H56" s="80"/>
    </row>
    <row r="57" spans="1:11" s="76" customFormat="1" ht="21.75" customHeight="1">
      <c r="A57" s="260"/>
      <c r="B57" s="159" t="s">
        <v>406</v>
      </c>
      <c r="C57" s="79"/>
      <c r="D57" s="79"/>
      <c r="E57" s="160"/>
      <c r="F57" s="399">
        <v>23250</v>
      </c>
      <c r="G57" s="321"/>
      <c r="H57" s="80"/>
    </row>
    <row r="58" spans="1:11" s="76" customFormat="1" ht="21.75" customHeight="1">
      <c r="A58" s="260"/>
      <c r="B58" s="79" t="s">
        <v>397</v>
      </c>
      <c r="D58" s="79"/>
      <c r="E58" s="160"/>
      <c r="F58" s="399">
        <v>50370</v>
      </c>
      <c r="G58" s="321"/>
    </row>
    <row r="59" spans="1:11" s="76" customFormat="1" ht="21.75" customHeight="1">
      <c r="A59" s="260"/>
      <c r="B59" s="79" t="s">
        <v>426</v>
      </c>
      <c r="D59" s="79"/>
      <c r="E59" s="160"/>
      <c r="F59" s="399">
        <v>76433</v>
      </c>
      <c r="G59" s="321"/>
    </row>
    <row r="60" spans="1:11" s="76" customFormat="1" ht="21.75" customHeight="1">
      <c r="A60" s="260"/>
      <c r="B60" s="79" t="s">
        <v>405</v>
      </c>
      <c r="D60" s="79"/>
      <c r="E60" s="160"/>
      <c r="F60" s="399">
        <v>0</v>
      </c>
      <c r="G60" s="321"/>
    </row>
    <row r="61" spans="1:11" s="76" customFormat="1" ht="21.75" customHeight="1">
      <c r="A61" s="260"/>
      <c r="B61" s="79" t="s">
        <v>32</v>
      </c>
      <c r="D61" s="79"/>
      <c r="E61" s="160"/>
      <c r="F61" s="399">
        <v>0</v>
      </c>
      <c r="G61" s="321"/>
    </row>
    <row r="62" spans="1:11" s="76" customFormat="1" ht="21.75" customHeight="1">
      <c r="A62" s="260"/>
      <c r="B62" s="79" t="s">
        <v>123</v>
      </c>
      <c r="D62" s="79"/>
      <c r="E62" s="160"/>
      <c r="F62" s="399">
        <v>0</v>
      </c>
      <c r="G62" s="321"/>
    </row>
    <row r="63" spans="1:11" s="76" customFormat="1" ht="21.75" customHeight="1">
      <c r="A63" s="260"/>
      <c r="B63" s="79"/>
      <c r="D63" s="79"/>
      <c r="E63" s="160"/>
      <c r="F63" s="399"/>
      <c r="G63" s="321"/>
    </row>
    <row r="64" spans="1:11" s="76" customFormat="1" ht="21.75" customHeight="1">
      <c r="B64" s="161" t="s">
        <v>3</v>
      </c>
      <c r="C64" s="154" t="s">
        <v>150</v>
      </c>
      <c r="D64" s="79"/>
      <c r="E64" s="101" t="s">
        <v>195</v>
      </c>
      <c r="F64" s="162"/>
      <c r="G64" s="322">
        <v>906474.05</v>
      </c>
      <c r="H64" s="380"/>
    </row>
    <row r="65" spans="1:11" s="76" customFormat="1" ht="21.75" customHeight="1">
      <c r="B65" s="161"/>
      <c r="C65" s="154" t="s">
        <v>149</v>
      </c>
      <c r="D65" s="79"/>
      <c r="E65" s="101" t="s">
        <v>195</v>
      </c>
      <c r="F65" s="162"/>
      <c r="G65" s="322">
        <v>4682989.12</v>
      </c>
    </row>
    <row r="66" spans="1:11" s="76" customFormat="1" ht="21.75" customHeight="1">
      <c r="B66" s="79"/>
      <c r="C66" s="154" t="s">
        <v>146</v>
      </c>
      <c r="D66" s="79"/>
      <c r="E66" s="101" t="s">
        <v>193</v>
      </c>
      <c r="F66" s="78"/>
      <c r="G66" s="322">
        <v>19626.37</v>
      </c>
    </row>
    <row r="67" spans="1:11" s="76" customFormat="1" ht="21.75" customHeight="1">
      <c r="B67" s="79"/>
      <c r="C67" s="154" t="s">
        <v>285</v>
      </c>
      <c r="D67" s="79"/>
      <c r="E67" s="101"/>
      <c r="F67" s="78"/>
      <c r="G67" s="322">
        <v>13771</v>
      </c>
      <c r="K67" s="380">
        <f>G67+J67</f>
        <v>13771</v>
      </c>
    </row>
    <row r="68" spans="1:11" s="76" customFormat="1" ht="21.75" customHeight="1">
      <c r="B68" s="79"/>
      <c r="C68" s="154" t="s">
        <v>407</v>
      </c>
      <c r="D68" s="79"/>
      <c r="E68" s="101"/>
      <c r="F68" s="78"/>
      <c r="G68" s="322">
        <v>23250</v>
      </c>
      <c r="K68" s="380"/>
    </row>
    <row r="69" spans="1:11" s="76" customFormat="1" ht="21.75" customHeight="1">
      <c r="B69" s="79"/>
      <c r="C69" s="154" t="s">
        <v>376</v>
      </c>
      <c r="D69" s="79"/>
      <c r="E69" s="101"/>
      <c r="F69" s="78"/>
      <c r="G69" s="322">
        <v>0</v>
      </c>
      <c r="K69" s="380"/>
    </row>
    <row r="70" spans="1:11" s="76" customFormat="1" ht="22.5" customHeight="1">
      <c r="A70" s="81"/>
      <c r="B70" s="81"/>
      <c r="C70" s="154"/>
      <c r="E70" s="82"/>
      <c r="F70" s="163">
        <f>SUM(F41:F67)</f>
        <v>5646110.54</v>
      </c>
      <c r="G70" s="480">
        <f>SUM(G64:G69)</f>
        <v>5646110.54</v>
      </c>
      <c r="I70" s="80"/>
    </row>
    <row r="71" spans="1:11" ht="24.75" customHeight="1">
      <c r="B71" s="70" t="s">
        <v>141</v>
      </c>
      <c r="C71" s="288"/>
      <c r="D71" s="156" t="s">
        <v>167</v>
      </c>
      <c r="E71" s="70"/>
      <c r="F71" s="70"/>
      <c r="G71" s="108">
        <f>F70-G70</f>
        <v>0</v>
      </c>
    </row>
    <row r="72" spans="1:11" ht="34.5" customHeight="1">
      <c r="A72" s="504" t="s">
        <v>35</v>
      </c>
      <c r="B72" s="504"/>
      <c r="C72" s="510"/>
      <c r="D72" s="503" t="s">
        <v>36</v>
      </c>
      <c r="E72" s="510"/>
      <c r="F72" s="503" t="s">
        <v>37</v>
      </c>
      <c r="G72" s="504"/>
      <c r="H72" s="353"/>
    </row>
    <row r="73" spans="1:11" ht="42.75" customHeight="1">
      <c r="A73" s="318"/>
      <c r="B73" s="318"/>
      <c r="C73" s="340"/>
      <c r="D73" s="341"/>
      <c r="E73" s="318"/>
      <c r="F73" s="341"/>
      <c r="G73" s="318"/>
      <c r="J73" s="353"/>
    </row>
    <row r="74" spans="1:11" ht="20.25" customHeight="1">
      <c r="C74" s="71"/>
      <c r="F74" s="51" t="s">
        <v>425</v>
      </c>
      <c r="G74" s="144" t="s">
        <v>135</v>
      </c>
    </row>
    <row r="75" spans="1:11" ht="20.25" customHeight="1">
      <c r="B75" s="52"/>
      <c r="C75" s="71"/>
      <c r="D75" s="52"/>
      <c r="E75" s="52"/>
      <c r="F75" s="109" t="str">
        <f>F2</f>
        <v>31   กรกฎาคม 2561</v>
      </c>
      <c r="G75" s="149"/>
    </row>
    <row r="76" spans="1:11" ht="20.25" customHeight="1">
      <c r="A76" s="255" t="s">
        <v>38</v>
      </c>
      <c r="B76" s="255"/>
      <c r="C76" s="255"/>
      <c r="D76" s="255"/>
      <c r="E76" s="255"/>
      <c r="F76" s="255"/>
      <c r="G76" s="255"/>
    </row>
    <row r="77" spans="1:11" ht="20.25" customHeight="1">
      <c r="A77" s="52" t="s">
        <v>140</v>
      </c>
      <c r="B77" s="50" t="s">
        <v>2</v>
      </c>
      <c r="C77" s="255"/>
      <c r="D77" s="55"/>
      <c r="E77" s="56"/>
      <c r="F77" s="56"/>
      <c r="G77" s="56"/>
    </row>
    <row r="78" spans="1:11" ht="20.25" customHeight="1">
      <c r="A78" s="57"/>
      <c r="B78" s="58" t="s">
        <v>1</v>
      </c>
      <c r="C78" s="289"/>
      <c r="D78" s="257"/>
      <c r="E78" s="59" t="s">
        <v>5</v>
      </c>
      <c r="F78" s="58" t="s">
        <v>4</v>
      </c>
      <c r="G78" s="59" t="s">
        <v>3</v>
      </c>
    </row>
    <row r="79" spans="1:11" s="76" customFormat="1" ht="20.25" customHeight="1">
      <c r="A79" s="77" t="s">
        <v>4</v>
      </c>
      <c r="B79" s="76" t="s">
        <v>8</v>
      </c>
      <c r="C79" s="266"/>
      <c r="D79" s="78"/>
      <c r="E79" s="153" t="s">
        <v>197</v>
      </c>
      <c r="F79" s="157">
        <v>9424915.4100000001</v>
      </c>
      <c r="G79" s="488"/>
    </row>
    <row r="80" spans="1:11" s="76" customFormat="1" ht="20.25" customHeight="1">
      <c r="B80" s="77" t="s">
        <v>3</v>
      </c>
      <c r="C80" s="71"/>
      <c r="D80" s="78"/>
      <c r="E80" s="153"/>
      <c r="F80" s="430"/>
      <c r="G80" s="489">
        <v>0</v>
      </c>
      <c r="H80" s="80"/>
    </row>
    <row r="81" spans="2:8" s="76" customFormat="1" ht="20.25" customHeight="1">
      <c r="B81" s="79"/>
      <c r="C81" s="79" t="s">
        <v>62</v>
      </c>
      <c r="D81" s="78"/>
      <c r="E81" s="153" t="s">
        <v>181</v>
      </c>
      <c r="F81" s="150"/>
      <c r="G81" s="489">
        <v>71908</v>
      </c>
    </row>
    <row r="82" spans="2:8" s="76" customFormat="1" ht="20.25" customHeight="1">
      <c r="B82" s="79"/>
      <c r="C82" s="79" t="s">
        <v>63</v>
      </c>
      <c r="D82" s="78"/>
      <c r="E82" s="153" t="s">
        <v>182</v>
      </c>
      <c r="F82" s="150"/>
      <c r="G82" s="489">
        <v>4739.25</v>
      </c>
    </row>
    <row r="83" spans="2:8" s="76" customFormat="1" ht="20.25" customHeight="1">
      <c r="B83" s="79"/>
      <c r="C83" s="79" t="s">
        <v>64</v>
      </c>
      <c r="D83" s="78"/>
      <c r="E83" s="153" t="s">
        <v>183</v>
      </c>
      <c r="F83" s="150"/>
      <c r="G83" s="489">
        <v>408</v>
      </c>
    </row>
    <row r="84" spans="2:8" s="76" customFormat="1" ht="20.25" customHeight="1">
      <c r="B84" s="79"/>
      <c r="C84" s="79" t="s">
        <v>301</v>
      </c>
      <c r="D84" s="78"/>
      <c r="E84" s="153"/>
      <c r="F84" s="150"/>
      <c r="G84" s="489">
        <v>113837.35</v>
      </c>
    </row>
    <row r="85" spans="2:8" s="76" customFormat="1" ht="20.25" customHeight="1">
      <c r="B85" s="79"/>
      <c r="C85" s="79" t="s">
        <v>144</v>
      </c>
      <c r="D85" s="254"/>
      <c r="E85" s="153" t="s">
        <v>231</v>
      </c>
      <c r="F85" s="150"/>
      <c r="G85" s="489">
        <v>1784270.23</v>
      </c>
    </row>
    <row r="86" spans="2:8" s="76" customFormat="1" ht="20.25" customHeight="1">
      <c r="B86" s="79"/>
      <c r="C86" s="259" t="s">
        <v>161</v>
      </c>
      <c r="D86" s="78"/>
      <c r="E86" s="153" t="s">
        <v>184</v>
      </c>
      <c r="F86" s="150"/>
      <c r="G86" s="489">
        <v>872589.73</v>
      </c>
    </row>
    <row r="87" spans="2:8" s="76" customFormat="1" ht="20.25" customHeight="1">
      <c r="B87" s="79"/>
      <c r="C87" s="79" t="s">
        <v>56</v>
      </c>
      <c r="D87" s="78"/>
      <c r="E87" s="153" t="s">
        <v>232</v>
      </c>
      <c r="F87" s="150"/>
      <c r="G87" s="489">
        <v>0</v>
      </c>
    </row>
    <row r="88" spans="2:8" s="76" customFormat="1" ht="20.25" customHeight="1">
      <c r="B88" s="79"/>
      <c r="C88" s="79" t="s">
        <v>58</v>
      </c>
      <c r="D88" s="78"/>
      <c r="E88" s="153" t="s">
        <v>186</v>
      </c>
      <c r="F88" s="150"/>
      <c r="G88" s="489">
        <v>1418986.54</v>
      </c>
    </row>
    <row r="89" spans="2:8" s="76" customFormat="1" ht="20.25" customHeight="1">
      <c r="B89" s="79"/>
      <c r="C89" s="79" t="s">
        <v>272</v>
      </c>
      <c r="D89" s="78"/>
      <c r="E89" s="153" t="s">
        <v>273</v>
      </c>
      <c r="F89" s="150"/>
      <c r="G89" s="489">
        <v>0</v>
      </c>
    </row>
    <row r="90" spans="2:8" s="76" customFormat="1" ht="20.25" customHeight="1">
      <c r="B90" s="79"/>
      <c r="C90" s="79" t="s">
        <v>59</v>
      </c>
      <c r="D90" s="78"/>
      <c r="E90" s="153" t="s">
        <v>233</v>
      </c>
      <c r="F90" s="150"/>
      <c r="G90" s="489">
        <v>24675.24</v>
      </c>
    </row>
    <row r="91" spans="2:8" s="76" customFormat="1" ht="20.25" customHeight="1">
      <c r="B91" s="79"/>
      <c r="C91" s="79" t="s">
        <v>61</v>
      </c>
      <c r="D91" s="78"/>
      <c r="E91" s="153" t="s">
        <v>187</v>
      </c>
      <c r="F91" s="150"/>
      <c r="G91" s="489">
        <v>0</v>
      </c>
    </row>
    <row r="92" spans="2:8" s="76" customFormat="1" ht="20.25" customHeight="1">
      <c r="B92" s="79"/>
      <c r="C92" s="79" t="s">
        <v>60</v>
      </c>
      <c r="D92" s="78"/>
      <c r="E92" s="153" t="s">
        <v>188</v>
      </c>
      <c r="F92" s="150"/>
      <c r="G92" s="489">
        <v>839996</v>
      </c>
      <c r="H92" s="80"/>
    </row>
    <row r="93" spans="2:8" s="76" customFormat="1" ht="20.25" customHeight="1">
      <c r="B93" s="79"/>
      <c r="C93" s="79" t="s">
        <v>352</v>
      </c>
      <c r="D93" s="78"/>
      <c r="E93" s="153"/>
      <c r="F93" s="150"/>
      <c r="G93" s="489">
        <v>0</v>
      </c>
    </row>
    <row r="94" spans="2:8" s="76" customFormat="1" ht="20.25" customHeight="1">
      <c r="B94" s="79"/>
      <c r="C94" s="79" t="s">
        <v>378</v>
      </c>
      <c r="D94" s="78"/>
      <c r="E94" s="153" t="s">
        <v>379</v>
      </c>
      <c r="F94" s="150"/>
      <c r="G94" s="489">
        <v>58.2</v>
      </c>
    </row>
    <row r="95" spans="2:8" s="76" customFormat="1" ht="20.25" customHeight="1">
      <c r="B95" s="79"/>
      <c r="C95" s="79" t="s">
        <v>142</v>
      </c>
      <c r="D95" s="78"/>
      <c r="E95" s="153" t="s">
        <v>180</v>
      </c>
      <c r="F95" s="150"/>
      <c r="G95" s="489">
        <v>0</v>
      </c>
    </row>
    <row r="96" spans="2:8" s="76" customFormat="1" ht="20.25" customHeight="1">
      <c r="B96" s="79"/>
      <c r="C96" s="79" t="s">
        <v>162</v>
      </c>
      <c r="D96" s="78"/>
      <c r="E96" s="153" t="s">
        <v>234</v>
      </c>
      <c r="F96" s="150"/>
      <c r="G96" s="489">
        <v>3600</v>
      </c>
    </row>
    <row r="97" spans="1:7" s="76" customFormat="1" ht="20.25" customHeight="1">
      <c r="B97" s="79"/>
      <c r="C97" s="79" t="s">
        <v>163</v>
      </c>
      <c r="D97" s="78"/>
      <c r="E97" s="153" t="s">
        <v>189</v>
      </c>
      <c r="F97" s="150"/>
      <c r="G97" s="489">
        <v>14000</v>
      </c>
    </row>
    <row r="98" spans="1:7" s="76" customFormat="1" ht="20.25" customHeight="1">
      <c r="B98" s="79"/>
      <c r="C98" s="79" t="s">
        <v>289</v>
      </c>
      <c r="D98" s="78"/>
      <c r="E98" s="153"/>
      <c r="F98" s="150"/>
      <c r="G98" s="489">
        <v>972</v>
      </c>
    </row>
    <row r="99" spans="1:7" s="76" customFormat="1" ht="20.25" customHeight="1">
      <c r="B99" s="79"/>
      <c r="C99" s="79" t="s">
        <v>235</v>
      </c>
      <c r="D99" s="78"/>
      <c r="E99" s="153" t="s">
        <v>236</v>
      </c>
      <c r="F99" s="150"/>
      <c r="G99" s="489">
        <v>230</v>
      </c>
    </row>
    <row r="100" spans="1:7" s="76" customFormat="1" ht="20.25" customHeight="1">
      <c r="B100" s="79"/>
      <c r="C100" s="79" t="s">
        <v>164</v>
      </c>
      <c r="D100" s="78"/>
      <c r="E100" s="153" t="s">
        <v>190</v>
      </c>
      <c r="F100" s="150"/>
      <c r="G100" s="489">
        <v>40112.870000000003</v>
      </c>
    </row>
    <row r="101" spans="1:7" s="76" customFormat="1" ht="20.25" customHeight="1">
      <c r="B101" s="79"/>
      <c r="C101" s="79" t="s">
        <v>88</v>
      </c>
      <c r="D101" s="78"/>
      <c r="E101" s="153" t="s">
        <v>191</v>
      </c>
      <c r="F101" s="79"/>
      <c r="G101" s="489">
        <v>0</v>
      </c>
    </row>
    <row r="102" spans="1:7" s="76" customFormat="1" ht="20.25" customHeight="1">
      <c r="B102" s="79"/>
      <c r="C102" s="79" t="s">
        <v>398</v>
      </c>
      <c r="D102" s="79"/>
      <c r="E102" s="153"/>
      <c r="F102" s="79"/>
      <c r="G102" s="489">
        <v>0</v>
      </c>
    </row>
    <row r="103" spans="1:7" s="76" customFormat="1" ht="20.25" customHeight="1">
      <c r="B103" s="79"/>
      <c r="C103" s="79" t="s">
        <v>175</v>
      </c>
      <c r="D103" s="79"/>
      <c r="E103" s="153" t="s">
        <v>192</v>
      </c>
      <c r="F103" s="79"/>
      <c r="G103" s="489">
        <v>1000</v>
      </c>
    </row>
    <row r="104" spans="1:7" s="76" customFormat="1" ht="20.25" customHeight="1">
      <c r="B104" s="79"/>
      <c r="C104" s="79" t="s">
        <v>71</v>
      </c>
      <c r="D104" s="79"/>
      <c r="E104" s="153"/>
      <c r="F104" s="79"/>
      <c r="G104" s="489">
        <v>0</v>
      </c>
    </row>
    <row r="105" spans="1:7" s="76" customFormat="1" ht="20.25" customHeight="1">
      <c r="A105" s="76" t="s">
        <v>385</v>
      </c>
      <c r="B105" s="79"/>
      <c r="C105" s="79" t="s">
        <v>71</v>
      </c>
      <c r="D105" s="79"/>
      <c r="E105" s="153"/>
      <c r="F105" s="79"/>
      <c r="G105" s="489">
        <v>238744</v>
      </c>
    </row>
    <row r="106" spans="1:7" s="76" customFormat="1" ht="20.25" customHeight="1">
      <c r="A106" s="76" t="s">
        <v>386</v>
      </c>
      <c r="B106" s="79"/>
      <c r="C106" s="79" t="s">
        <v>71</v>
      </c>
      <c r="D106" s="79"/>
      <c r="E106" s="153"/>
      <c r="F106" s="79"/>
      <c r="G106" s="489">
        <v>503760</v>
      </c>
    </row>
    <row r="107" spans="1:7" s="76" customFormat="1" ht="20.25" customHeight="1">
      <c r="A107" s="76" t="s">
        <v>367</v>
      </c>
      <c r="B107" s="79"/>
      <c r="C107" s="79" t="s">
        <v>71</v>
      </c>
      <c r="D107" s="79"/>
      <c r="E107" s="153"/>
      <c r="F107" s="79"/>
      <c r="G107" s="489">
        <v>7500</v>
      </c>
    </row>
    <row r="108" spans="1:7" s="76" customFormat="1" ht="20.25" customHeight="1">
      <c r="A108" s="76" t="s">
        <v>387</v>
      </c>
      <c r="B108" s="79"/>
      <c r="C108" s="79" t="s">
        <v>71</v>
      </c>
      <c r="D108" s="79"/>
      <c r="E108" s="153"/>
      <c r="F108" s="79"/>
      <c r="G108" s="489">
        <v>224580</v>
      </c>
    </row>
    <row r="109" spans="1:7" s="76" customFormat="1" ht="20.25" customHeight="1">
      <c r="A109" s="76" t="s">
        <v>388</v>
      </c>
      <c r="B109" s="79"/>
      <c r="C109" s="79" t="s">
        <v>71</v>
      </c>
      <c r="D109" s="79"/>
      <c r="E109" s="153"/>
      <c r="F109" s="79"/>
      <c r="G109" s="489"/>
    </row>
    <row r="110" spans="1:7" s="76" customFormat="1" ht="20.25" customHeight="1">
      <c r="A110" s="76" t="s">
        <v>389</v>
      </c>
      <c r="B110" s="79"/>
      <c r="C110" s="79" t="s">
        <v>71</v>
      </c>
      <c r="D110" s="79"/>
      <c r="E110" s="153"/>
      <c r="F110" s="79"/>
      <c r="G110" s="489"/>
    </row>
    <row r="111" spans="1:7" s="76" customFormat="1" ht="20.25" customHeight="1">
      <c r="A111" s="76" t="s">
        <v>390</v>
      </c>
      <c r="B111" s="79"/>
      <c r="C111" s="79" t="s">
        <v>71</v>
      </c>
      <c r="D111" s="79"/>
      <c r="E111" s="153"/>
      <c r="F111" s="79"/>
      <c r="G111" s="489">
        <v>2538600</v>
      </c>
    </row>
    <row r="112" spans="1:7" s="76" customFormat="1" ht="20.25" customHeight="1">
      <c r="A112" s="76" t="s">
        <v>391</v>
      </c>
      <c r="B112" s="79"/>
      <c r="C112" s="79" t="s">
        <v>71</v>
      </c>
      <c r="D112" s="79"/>
      <c r="E112" s="153"/>
      <c r="F112" s="79"/>
      <c r="G112" s="489">
        <v>633600</v>
      </c>
    </row>
    <row r="113" spans="1:10" s="76" customFormat="1" ht="20.25" customHeight="1">
      <c r="A113" s="79" t="s">
        <v>402</v>
      </c>
      <c r="B113" s="79"/>
      <c r="C113" s="79" t="s">
        <v>71</v>
      </c>
      <c r="E113" s="82"/>
      <c r="F113" s="485"/>
      <c r="G113" s="490">
        <v>86748</v>
      </c>
      <c r="H113" s="164"/>
    </row>
    <row r="114" spans="1:10" s="76" customFormat="1" ht="20.25" customHeight="1">
      <c r="A114" s="482"/>
      <c r="B114" s="483"/>
      <c r="C114" s="483"/>
      <c r="D114" s="484"/>
      <c r="E114" s="348"/>
      <c r="F114" s="486">
        <f>SUM(F79:F113)</f>
        <v>9424915.4100000001</v>
      </c>
      <c r="G114" s="486">
        <f>SUM(G79:G113)</f>
        <v>9424915.4100000001</v>
      </c>
      <c r="H114" s="164"/>
    </row>
    <row r="115" spans="1:10" s="76" customFormat="1" ht="20.25" customHeight="1">
      <c r="A115" s="262"/>
      <c r="B115" s="83" t="s">
        <v>143</v>
      </c>
      <c r="C115" s="262"/>
      <c r="D115" s="155" t="s">
        <v>129</v>
      </c>
      <c r="E115" s="83"/>
      <c r="F115" s="83"/>
      <c r="G115" s="83"/>
    </row>
    <row r="116" spans="1:10" s="76" customFormat="1" ht="20.25" customHeight="1">
      <c r="B116" s="264"/>
      <c r="C116" s="79"/>
      <c r="D116" s="84"/>
      <c r="E116" s="264"/>
      <c r="F116" s="264"/>
      <c r="G116" s="319"/>
    </row>
    <row r="117" spans="1:10" s="76" customFormat="1" ht="20.25" customHeight="1">
      <c r="A117" s="506" t="s">
        <v>35</v>
      </c>
      <c r="B117" s="506"/>
      <c r="C117" s="512"/>
      <c r="D117" s="505" t="s">
        <v>36</v>
      </c>
      <c r="E117" s="512"/>
      <c r="F117" s="505" t="s">
        <v>37</v>
      </c>
      <c r="G117" s="506"/>
    </row>
    <row r="118" spans="1:10" s="76" customFormat="1" ht="20.25" customHeight="1">
      <c r="A118" s="77"/>
      <c r="B118" s="77"/>
      <c r="C118" s="86"/>
      <c r="D118" s="77"/>
      <c r="E118" s="77"/>
      <c r="F118" s="87"/>
      <c r="G118" s="77"/>
    </row>
    <row r="119" spans="1:10" s="76" customFormat="1" ht="20.25" customHeight="1">
      <c r="A119" s="81"/>
      <c r="B119" s="85"/>
      <c r="C119" s="458"/>
      <c r="D119" s="89"/>
      <c r="E119" s="85"/>
      <c r="F119" s="89"/>
      <c r="G119" s="85"/>
      <c r="J119" s="80"/>
    </row>
  </sheetData>
  <mergeCells count="13">
    <mergeCell ref="A38:G38"/>
    <mergeCell ref="F117:G117"/>
    <mergeCell ref="F72:G72"/>
    <mergeCell ref="B41:C41"/>
    <mergeCell ref="A117:C117"/>
    <mergeCell ref="D117:E117"/>
    <mergeCell ref="A72:C72"/>
    <mergeCell ref="D72:E72"/>
    <mergeCell ref="A33:C33"/>
    <mergeCell ref="F33:G33"/>
    <mergeCell ref="B3:F3"/>
    <mergeCell ref="B5:D5"/>
    <mergeCell ref="D33:E33"/>
  </mergeCells>
  <phoneticPr fontId="0" type="noConversion"/>
  <pageMargins left="0.63" right="0.22" top="0.49" bottom="0.23" header="0.27" footer="0.21"/>
  <pageSetup paperSize="9" scale="85" orientation="portrait" r:id="rId1"/>
  <headerFooter alignWithMargins="0"/>
  <rowBreaks count="2" manualBreakCount="2">
    <brk id="35" max="7" man="1"/>
    <brk id="73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8"/>
  <sheetViews>
    <sheetView topLeftCell="C22" zoomScaleNormal="100" workbookViewId="0">
      <selection activeCell="I18" sqref="I18"/>
    </sheetView>
  </sheetViews>
  <sheetFormatPr defaultColWidth="17.140625" defaultRowHeight="21.75"/>
  <cols>
    <col min="1" max="1" width="32" style="427" customWidth="1"/>
    <col min="2" max="2" width="26.42578125" style="428" customWidth="1"/>
    <col min="3" max="3" width="9.7109375" style="117" customWidth="1"/>
    <col min="4" max="4" width="20.28515625" style="172" customWidth="1"/>
    <col min="5" max="5" width="20.28515625" style="211" customWidth="1"/>
    <col min="6" max="6" width="20.7109375" style="415" customWidth="1"/>
    <col min="7" max="7" width="14.7109375" style="417" customWidth="1"/>
    <col min="8" max="8" width="14.28515625" style="415" customWidth="1"/>
    <col min="9" max="16384" width="17.140625" style="415"/>
  </cols>
  <sheetData>
    <row r="1" spans="1:8" s="244" customFormat="1" ht="24" customHeight="1">
      <c r="A1" s="513" t="s">
        <v>65</v>
      </c>
      <c r="B1" s="513"/>
      <c r="C1" s="513"/>
      <c r="D1" s="513"/>
      <c r="E1" s="513"/>
      <c r="F1" s="245"/>
      <c r="G1" s="291"/>
    </row>
    <row r="2" spans="1:8" s="244" customFormat="1" ht="24" customHeight="1">
      <c r="A2" s="513" t="s">
        <v>66</v>
      </c>
      <c r="B2" s="513"/>
      <c r="C2" s="513"/>
      <c r="D2" s="513"/>
      <c r="E2" s="513"/>
      <c r="F2" s="245"/>
      <c r="G2" s="246"/>
      <c r="H2" s="247"/>
    </row>
    <row r="3" spans="1:8" s="243" customFormat="1" ht="24" customHeight="1" thickBot="1">
      <c r="A3" s="337"/>
      <c r="B3" s="516" t="s">
        <v>414</v>
      </c>
      <c r="C3" s="516"/>
      <c r="D3" s="337"/>
      <c r="E3" s="337"/>
      <c r="F3" s="241"/>
      <c r="G3" s="242"/>
      <c r="H3" s="248"/>
    </row>
    <row r="4" spans="1:8" s="243" customFormat="1" ht="22.5" thickTop="1">
      <c r="A4" s="407" t="s">
        <v>1</v>
      </c>
      <c r="B4" s="407"/>
      <c r="C4" s="408" t="s">
        <v>5</v>
      </c>
      <c r="D4" s="409" t="s">
        <v>4</v>
      </c>
      <c r="E4" s="410" t="s">
        <v>3</v>
      </c>
      <c r="F4" s="249"/>
      <c r="H4" s="250"/>
    </row>
    <row r="5" spans="1:8" s="243" customFormat="1">
      <c r="A5" s="411" t="s">
        <v>171</v>
      </c>
      <c r="B5" s="412"/>
      <c r="C5" s="413" t="s">
        <v>288</v>
      </c>
      <c r="D5" s="444">
        <v>0</v>
      </c>
      <c r="E5" s="414"/>
      <c r="F5" s="249"/>
      <c r="H5" s="250"/>
    </row>
    <row r="6" spans="1:8" s="243" customFormat="1">
      <c r="A6" s="411" t="s">
        <v>67</v>
      </c>
      <c r="B6" s="411"/>
      <c r="C6" s="195" t="s">
        <v>199</v>
      </c>
      <c r="D6" s="179">
        <v>8393274.5199999996</v>
      </c>
      <c r="E6" s="414"/>
      <c r="F6" s="249">
        <f>SUM(D5:D11)</f>
        <v>35041824.509999998</v>
      </c>
      <c r="H6" s="250"/>
    </row>
    <row r="7" spans="1:8" s="243" customFormat="1">
      <c r="A7" s="411" t="s">
        <v>68</v>
      </c>
      <c r="B7" s="411"/>
      <c r="C7" s="195" t="s">
        <v>199</v>
      </c>
      <c r="D7" s="179">
        <v>4291406.42</v>
      </c>
      <c r="E7" s="414"/>
      <c r="F7" s="249"/>
      <c r="H7" s="250"/>
    </row>
    <row r="8" spans="1:8" s="243" customFormat="1">
      <c r="A8" s="411" t="s">
        <v>69</v>
      </c>
      <c r="B8" s="411"/>
      <c r="C8" s="195" t="s">
        <v>199</v>
      </c>
      <c r="D8" s="179">
        <v>1166001.52</v>
      </c>
      <c r="E8" s="414"/>
      <c r="F8" s="249"/>
      <c r="H8" s="250"/>
    </row>
    <row r="9" spans="1:8" s="243" customFormat="1">
      <c r="A9" s="411" t="s">
        <v>225</v>
      </c>
      <c r="B9" s="411"/>
      <c r="C9" s="195" t="s">
        <v>200</v>
      </c>
      <c r="D9" s="179">
        <v>10624861.66</v>
      </c>
      <c r="E9" s="414"/>
      <c r="F9" s="249"/>
      <c r="H9" s="250"/>
    </row>
    <row r="10" spans="1:8" s="243" customFormat="1">
      <c r="A10" s="411" t="s">
        <v>258</v>
      </c>
      <c r="B10" s="411"/>
      <c r="C10" s="195" t="s">
        <v>200</v>
      </c>
      <c r="D10" s="179">
        <v>7477128.21</v>
      </c>
      <c r="E10" s="414"/>
      <c r="F10" s="249"/>
      <c r="H10" s="250"/>
    </row>
    <row r="11" spans="1:8" s="243" customFormat="1">
      <c r="A11" s="411" t="s">
        <v>328</v>
      </c>
      <c r="B11" s="411"/>
      <c r="C11" s="195" t="s">
        <v>200</v>
      </c>
      <c r="D11" s="179">
        <v>3089152.18</v>
      </c>
      <c r="E11" s="414"/>
      <c r="F11" s="249"/>
      <c r="H11" s="250"/>
    </row>
    <row r="12" spans="1:8">
      <c r="A12" s="411" t="s">
        <v>226</v>
      </c>
      <c r="B12" s="411"/>
      <c r="C12" s="195" t="s">
        <v>124</v>
      </c>
      <c r="D12" s="293">
        <v>0</v>
      </c>
      <c r="E12" s="175"/>
      <c r="F12" s="241">
        <f>D12+D13+D14</f>
        <v>35401.53</v>
      </c>
      <c r="G12" s="415"/>
    </row>
    <row r="13" spans="1:8">
      <c r="A13" s="411" t="s">
        <v>227</v>
      </c>
      <c r="B13" s="411"/>
      <c r="C13" s="195"/>
      <c r="D13" s="293">
        <v>35401.53</v>
      </c>
      <c r="E13" s="175"/>
      <c r="G13" s="415"/>
    </row>
    <row r="14" spans="1:8">
      <c r="A14" s="411" t="s">
        <v>228</v>
      </c>
      <c r="B14" s="411"/>
      <c r="C14" s="195"/>
      <c r="D14" s="293">
        <v>0</v>
      </c>
      <c r="E14" s="175"/>
      <c r="G14" s="415"/>
    </row>
    <row r="15" spans="1:8">
      <c r="A15" s="411" t="s">
        <v>317</v>
      </c>
      <c r="B15" s="411"/>
      <c r="C15" s="195" t="s">
        <v>318</v>
      </c>
      <c r="D15" s="293">
        <v>360000</v>
      </c>
      <c r="E15" s="187"/>
      <c r="G15" s="415"/>
    </row>
    <row r="16" spans="1:8">
      <c r="A16" s="411" t="s">
        <v>110</v>
      </c>
      <c r="B16" s="411"/>
      <c r="C16" s="195" t="s">
        <v>319</v>
      </c>
      <c r="D16" s="179"/>
      <c r="E16" s="175">
        <f>'หมายเหตุ1 '!F54</f>
        <v>49703862.320000008</v>
      </c>
      <c r="F16" s="241">
        <f>E16</f>
        <v>49703862.320000008</v>
      </c>
      <c r="G16" s="416">
        <f>F16-G19</f>
        <v>28186631.660000011</v>
      </c>
    </row>
    <row r="17" spans="1:8">
      <c r="A17" s="411" t="s">
        <v>320</v>
      </c>
      <c r="B17" s="411"/>
      <c r="C17" s="195" t="s">
        <v>321</v>
      </c>
      <c r="D17" s="179"/>
      <c r="E17" s="175">
        <v>0</v>
      </c>
    </row>
    <row r="18" spans="1:8">
      <c r="A18" s="411" t="s">
        <v>322</v>
      </c>
      <c r="B18" s="418"/>
      <c r="C18" s="113" t="s">
        <v>323</v>
      </c>
      <c r="D18" s="179"/>
      <c r="E18" s="175">
        <f>'หมายเหตุ 3'!E34</f>
        <v>4039781.0500000003</v>
      </c>
    </row>
    <row r="19" spans="1:8">
      <c r="A19" s="411" t="s">
        <v>123</v>
      </c>
      <c r="B19" s="411"/>
      <c r="C19" s="113" t="s">
        <v>201</v>
      </c>
      <c r="D19" s="179"/>
      <c r="E19" s="175">
        <f>13753141.1</f>
        <v>13753141.1</v>
      </c>
      <c r="G19" s="416">
        <f>E17+E18+E19+E233+E20</f>
        <v>21517230.659999996</v>
      </c>
    </row>
    <row r="20" spans="1:8">
      <c r="A20" s="411" t="s">
        <v>32</v>
      </c>
      <c r="B20" s="411"/>
      <c r="C20" s="113" t="s">
        <v>324</v>
      </c>
      <c r="D20" s="179"/>
      <c r="E20" s="175">
        <v>3724308.51</v>
      </c>
      <c r="G20" s="419"/>
    </row>
    <row r="21" spans="1:8">
      <c r="A21" s="411" t="s">
        <v>403</v>
      </c>
      <c r="B21" s="411"/>
      <c r="C21" s="195"/>
      <c r="D21" s="179">
        <v>0</v>
      </c>
      <c r="E21" s="175"/>
      <c r="G21" s="419"/>
    </row>
    <row r="22" spans="1:8">
      <c r="A22" s="411" t="s">
        <v>139</v>
      </c>
      <c r="B22" s="411"/>
      <c r="C22" s="195" t="s">
        <v>209</v>
      </c>
      <c r="D22" s="293">
        <f>423900+715360+412400+971117-600-700+738871+402600+403400+961446+402000+733531+399500+734506+397600+738750+1234131-1800+1126931+1129331-600</f>
        <v>11921674</v>
      </c>
      <c r="E22" s="175"/>
      <c r="G22" s="415"/>
    </row>
    <row r="23" spans="1:8">
      <c r="A23" s="411" t="s">
        <v>297</v>
      </c>
      <c r="B23" s="411"/>
      <c r="C23" s="195" t="s">
        <v>210</v>
      </c>
      <c r="D23" s="293">
        <f>'รับ-จ่ายเงินสด   '!D35</f>
        <v>2223480</v>
      </c>
      <c r="E23" s="175"/>
      <c r="F23" s="385"/>
      <c r="G23" s="249"/>
      <c r="H23" s="420">
        <f>G23-F23</f>
        <v>0</v>
      </c>
    </row>
    <row r="24" spans="1:8">
      <c r="A24" s="411" t="s">
        <v>298</v>
      </c>
      <c r="B24" s="411"/>
      <c r="C24" s="195"/>
      <c r="D24" s="293">
        <f>421752+35130+275595+435770+35130+277837-1626-323+435976+35130+279045+435870+35130+279045+460595+35130+279045+460595+35130+279045+469535+35750+279045+469535+35750+279045+484595+35750+279045+484595+35750+279045-600-68</f>
        <v>7695773</v>
      </c>
      <c r="E24" s="175"/>
      <c r="F24" s="385"/>
      <c r="G24" s="249"/>
      <c r="H24" s="420"/>
    </row>
    <row r="25" spans="1:8">
      <c r="A25" s="411" t="s">
        <v>27</v>
      </c>
      <c r="B25" s="411"/>
      <c r="C25" s="195" t="s">
        <v>211</v>
      </c>
      <c r="D25" s="293">
        <f>'รับ-จ่ายเงินสด   '!D37</f>
        <v>148150</v>
      </c>
      <c r="E25" s="175"/>
      <c r="F25" s="354">
        <f>SUM(D22:D32)</f>
        <v>35783866.939999998</v>
      </c>
      <c r="G25" s="415"/>
    </row>
    <row r="26" spans="1:8">
      <c r="A26" s="411" t="s">
        <v>28</v>
      </c>
      <c r="B26" s="411"/>
      <c r="C26" s="195" t="s">
        <v>212</v>
      </c>
      <c r="D26" s="293">
        <f>'รับ-จ่ายเงินสด   '!D38</f>
        <v>2253237.0999999996</v>
      </c>
      <c r="E26" s="175"/>
      <c r="F26" s="420"/>
      <c r="G26" s="415"/>
    </row>
    <row r="27" spans="1:8">
      <c r="A27" s="411" t="s">
        <v>29</v>
      </c>
      <c r="B27" s="411"/>
      <c r="C27" s="195" t="s">
        <v>213</v>
      </c>
      <c r="D27" s="293">
        <f>'รับ-จ่ายเงินสด   '!D39</f>
        <v>1107489.06</v>
      </c>
      <c r="E27" s="175"/>
      <c r="G27" s="415"/>
    </row>
    <row r="28" spans="1:8">
      <c r="A28" s="411" t="s">
        <v>137</v>
      </c>
      <c r="B28" s="411"/>
      <c r="C28" s="195" t="s">
        <v>214</v>
      </c>
      <c r="D28" s="293">
        <f>'รับ-จ่ายเงินสด   '!D40</f>
        <v>361613.77999999997</v>
      </c>
      <c r="E28" s="175"/>
      <c r="F28" s="241">
        <f>F16-F25</f>
        <v>13919995.38000001</v>
      </c>
      <c r="G28" s="415"/>
    </row>
    <row r="29" spans="1:8">
      <c r="A29" s="411" t="s">
        <v>292</v>
      </c>
      <c r="B29" s="411"/>
      <c r="C29" s="195" t="s">
        <v>215</v>
      </c>
      <c r="D29" s="293">
        <f>'รับ-จ่ายเงินสด   '!D41</f>
        <v>221750</v>
      </c>
      <c r="E29" s="175"/>
      <c r="G29" s="415"/>
    </row>
    <row r="30" spans="1:8">
      <c r="A30" s="411" t="s">
        <v>147</v>
      </c>
      <c r="B30" s="411"/>
      <c r="C30" s="195" t="s">
        <v>203</v>
      </c>
      <c r="D30" s="293">
        <f>'รับ-จ่ายเงินสด   '!D42</f>
        <v>7812700</v>
      </c>
      <c r="E30" s="175"/>
      <c r="F30" s="249">
        <f>15734812.02*25%</f>
        <v>3933703.0049999999</v>
      </c>
      <c r="G30" s="415" t="s">
        <v>331</v>
      </c>
      <c r="H30" s="249"/>
    </row>
    <row r="31" spans="1:8">
      <c r="A31" s="411" t="s">
        <v>23</v>
      </c>
      <c r="B31" s="411"/>
      <c r="C31" s="195" t="s">
        <v>243</v>
      </c>
      <c r="D31" s="293">
        <f>'รับ-จ่ายเงินสด   '!D44-'รับ-จ่ายเงินสด   '!D24</f>
        <v>2038000</v>
      </c>
      <c r="E31" s="175"/>
      <c r="F31" s="249"/>
      <c r="G31" s="415"/>
      <c r="H31" s="249"/>
    </row>
    <row r="32" spans="1:8">
      <c r="A32" s="460" t="s">
        <v>383</v>
      </c>
      <c r="B32" s="411"/>
      <c r="C32" s="461"/>
      <c r="D32" s="293">
        <f>'รับ-จ่ายเงินสด   '!D43</f>
        <v>0</v>
      </c>
      <c r="E32" s="175"/>
      <c r="F32" s="241">
        <f>F28-F30</f>
        <v>9986292.3750000112</v>
      </c>
      <c r="G32" s="415" t="s">
        <v>330</v>
      </c>
      <c r="H32" s="241"/>
    </row>
    <row r="33" spans="1:7" ht="25.5" customHeight="1" thickBot="1">
      <c r="A33" s="421"/>
      <c r="B33" s="421"/>
      <c r="C33" s="422"/>
      <c r="D33" s="423">
        <f>SUM(D5:D32)</f>
        <v>71221092.980000004</v>
      </c>
      <c r="E33" s="424">
        <f>SUM(E15:E32)</f>
        <v>71221092.980000004</v>
      </c>
      <c r="F33" s="420">
        <f>D33-E33</f>
        <v>0</v>
      </c>
      <c r="G33" s="420"/>
    </row>
    <row r="34" spans="1:7" ht="24.75" customHeight="1" thickTop="1">
      <c r="A34" s="421"/>
      <c r="B34" s="421"/>
      <c r="C34" s="421"/>
      <c r="D34" s="240"/>
      <c r="E34" s="240">
        <f>E33-D33</f>
        <v>0</v>
      </c>
      <c r="F34" s="420"/>
      <c r="G34" s="425"/>
    </row>
    <row r="35" spans="1:7">
      <c r="A35" s="421"/>
      <c r="B35" s="421"/>
      <c r="C35" s="421"/>
      <c r="D35" s="240"/>
      <c r="E35" s="240">
        <v>0</v>
      </c>
      <c r="F35" s="420"/>
    </row>
    <row r="36" spans="1:7">
      <c r="A36" s="421"/>
      <c r="B36" s="421"/>
      <c r="C36" s="421"/>
      <c r="D36" s="240"/>
      <c r="E36" s="240"/>
      <c r="F36" s="420"/>
    </row>
    <row r="37" spans="1:7">
      <c r="A37" s="421"/>
      <c r="B37" s="421"/>
      <c r="C37" s="421"/>
      <c r="D37" s="240"/>
      <c r="E37" s="240"/>
      <c r="F37" s="420"/>
    </row>
    <row r="38" spans="1:7">
      <c r="A38" s="421"/>
      <c r="B38" s="421"/>
      <c r="C38" s="421"/>
      <c r="D38" s="456"/>
      <c r="E38" s="240"/>
      <c r="F38" s="420"/>
    </row>
    <row r="39" spans="1:7">
      <c r="A39" s="421"/>
      <c r="B39" s="421"/>
      <c r="C39" s="421"/>
      <c r="D39" s="240"/>
      <c r="E39" s="240"/>
      <c r="F39" s="420"/>
    </row>
    <row r="40" spans="1:7">
      <c r="A40" s="421"/>
      <c r="B40" s="421"/>
      <c r="C40" s="421"/>
      <c r="D40" s="240"/>
      <c r="E40" s="240"/>
      <c r="F40" s="420"/>
    </row>
    <row r="41" spans="1:7">
      <c r="A41" s="421"/>
      <c r="B41" s="421"/>
      <c r="C41" s="421"/>
      <c r="D41" s="240"/>
      <c r="E41" s="240"/>
      <c r="F41" s="420"/>
    </row>
    <row r="42" spans="1:7">
      <c r="A42" s="421"/>
      <c r="B42" s="421"/>
      <c r="C42" s="421"/>
      <c r="D42" s="240"/>
      <c r="E42" s="240"/>
      <c r="F42" s="420"/>
    </row>
    <row r="43" spans="1:7">
      <c r="A43" s="421"/>
      <c r="B43" s="421"/>
      <c r="C43" s="421"/>
      <c r="D43" s="240"/>
      <c r="E43" s="240"/>
      <c r="F43" s="420"/>
    </row>
    <row r="44" spans="1:7">
      <c r="A44" s="421"/>
      <c r="B44" s="421"/>
      <c r="C44" s="421"/>
      <c r="D44" s="240"/>
      <c r="E44" s="240"/>
      <c r="F44" s="420"/>
    </row>
    <row r="45" spans="1:7">
      <c r="A45" s="421"/>
      <c r="B45" s="421"/>
      <c r="C45" s="421"/>
      <c r="D45" s="240"/>
      <c r="E45" s="240"/>
      <c r="F45" s="420"/>
    </row>
    <row r="46" spans="1:7">
      <c r="A46" s="244"/>
      <c r="B46" s="223"/>
      <c r="C46" s="244"/>
      <c r="D46" s="514"/>
      <c r="E46" s="514"/>
    </row>
    <row r="47" spans="1:7">
      <c r="A47" s="117"/>
      <c r="B47" s="515"/>
      <c r="C47" s="515"/>
      <c r="D47" s="514"/>
      <c r="E47" s="514"/>
      <c r="F47" s="241"/>
      <c r="G47" s="426"/>
    </row>
    <row r="48" spans="1:7">
      <c r="A48" s="239"/>
      <c r="B48" s="243"/>
      <c r="C48" s="243"/>
      <c r="D48" s="240"/>
      <c r="E48" s="240"/>
      <c r="F48" s="249"/>
    </row>
  </sheetData>
  <mergeCells count="6">
    <mergeCell ref="A1:E1"/>
    <mergeCell ref="A2:E2"/>
    <mergeCell ref="D46:E46"/>
    <mergeCell ref="D47:E47"/>
    <mergeCell ref="B47:C47"/>
    <mergeCell ref="B3:C3"/>
  </mergeCells>
  <phoneticPr fontId="0" type="noConversion"/>
  <pageMargins left="0.49" right="0.24" top="0.24" bottom="0.15" header="0.14000000000000001" footer="0.14000000000000001"/>
  <pageSetup paperSize="9" scale="95" orientation="portrait" horizontalDpi="180" verticalDpi="180" r:id="rId1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1:N70"/>
  <sheetViews>
    <sheetView topLeftCell="A58" zoomScale="85" zoomScaleNormal="85" zoomScaleSheetLayoutView="100" workbookViewId="0">
      <selection activeCell="B41" sqref="B41"/>
    </sheetView>
  </sheetViews>
  <sheetFormatPr defaultRowHeight="26.25"/>
  <cols>
    <col min="1" max="1" width="13.85546875" style="5" customWidth="1"/>
    <col min="2" max="3" width="12.85546875" style="5" customWidth="1"/>
    <col min="4" max="4" width="14.85546875" style="5" customWidth="1"/>
    <col min="5" max="5" width="4" style="5" customWidth="1"/>
    <col min="6" max="6" width="39.42578125" style="5" customWidth="1"/>
    <col min="7" max="7" width="7.5703125" style="8" customWidth="1"/>
    <col min="8" max="8" width="17.140625" style="9" customWidth="1"/>
    <col min="9" max="9" width="6.140625" style="9" customWidth="1"/>
    <col min="10" max="10" width="20.85546875" style="99" bestFit="1" customWidth="1"/>
    <col min="11" max="11" width="15" style="4" customWidth="1"/>
    <col min="12" max="12" width="17" style="120" bestFit="1" customWidth="1"/>
    <col min="13" max="13" width="16" style="120" customWidth="1"/>
    <col min="14" max="14" width="15.140625" style="5" customWidth="1"/>
    <col min="15" max="16384" width="9.140625" style="5"/>
  </cols>
  <sheetData>
    <row r="1" spans="1:14" s="306" customFormat="1" ht="21.75" customHeight="1">
      <c r="A1" s="527" t="s">
        <v>65</v>
      </c>
      <c r="B1" s="527"/>
      <c r="C1" s="527"/>
      <c r="D1" s="527"/>
      <c r="E1" s="527"/>
      <c r="F1" s="527"/>
      <c r="G1" s="527"/>
      <c r="H1" s="527"/>
      <c r="I1" s="303"/>
      <c r="J1" s="304"/>
      <c r="K1" s="305"/>
      <c r="L1" s="305"/>
      <c r="M1" s="305"/>
    </row>
    <row r="2" spans="1:14" s="310" customFormat="1" ht="21.75" customHeight="1">
      <c r="A2" s="527" t="s">
        <v>9</v>
      </c>
      <c r="B2" s="527"/>
      <c r="C2" s="527"/>
      <c r="D2" s="527"/>
      <c r="E2" s="527"/>
      <c r="F2" s="527"/>
      <c r="G2" s="527"/>
      <c r="H2" s="527"/>
      <c r="I2" s="307"/>
      <c r="J2" s="308"/>
      <c r="K2" s="305"/>
      <c r="L2" s="309"/>
      <c r="M2" s="309"/>
    </row>
    <row r="3" spans="1:14" s="310" customFormat="1" ht="21.75" customHeight="1">
      <c r="A3" s="536" t="s">
        <v>415</v>
      </c>
      <c r="B3" s="536"/>
      <c r="C3" s="536"/>
      <c r="D3" s="536"/>
      <c r="E3" s="536"/>
      <c r="F3" s="536"/>
      <c r="G3" s="536"/>
      <c r="H3" s="536"/>
      <c r="I3" s="307"/>
      <c r="J3" s="308"/>
      <c r="K3" s="305"/>
      <c r="L3" s="309"/>
      <c r="M3" s="309"/>
    </row>
    <row r="4" spans="1:14" s="310" customFormat="1" ht="21.75" customHeight="1" thickBot="1">
      <c r="B4" s="305"/>
      <c r="C4" s="305"/>
      <c r="D4" s="311"/>
      <c r="E4" s="311"/>
      <c r="F4" s="530"/>
      <c r="G4" s="530"/>
      <c r="H4" s="530"/>
      <c r="I4" s="307"/>
      <c r="J4" s="308"/>
      <c r="K4" s="305"/>
      <c r="L4" s="309"/>
      <c r="M4" s="309"/>
    </row>
    <row r="5" spans="1:14" s="14" customFormat="1" ht="21.75" customHeight="1" thickTop="1">
      <c r="A5" s="531" t="s">
        <v>10</v>
      </c>
      <c r="B5" s="532"/>
      <c r="C5" s="532"/>
      <c r="D5" s="532"/>
      <c r="E5" s="534"/>
      <c r="F5" s="535"/>
      <c r="G5" s="12"/>
      <c r="H5" s="368" t="s">
        <v>6</v>
      </c>
      <c r="I5" s="13"/>
      <c r="J5" s="97"/>
      <c r="K5" s="4"/>
      <c r="L5" s="118"/>
      <c r="M5" s="118"/>
    </row>
    <row r="6" spans="1:14" s="14" customFormat="1" ht="21.75" customHeight="1">
      <c r="A6" s="15" t="s">
        <v>12</v>
      </c>
      <c r="B6" s="114" t="s">
        <v>305</v>
      </c>
      <c r="C6" s="15"/>
      <c r="D6" s="10" t="s">
        <v>13</v>
      </c>
      <c r="E6" s="519" t="s">
        <v>1</v>
      </c>
      <c r="F6" s="520"/>
      <c r="G6" s="16" t="s">
        <v>14</v>
      </c>
      <c r="H6" s="17" t="s">
        <v>11</v>
      </c>
      <c r="I6" s="13"/>
      <c r="J6" s="97"/>
      <c r="K6" s="4"/>
      <c r="L6" s="118"/>
      <c r="M6" s="118"/>
    </row>
    <row r="7" spans="1:14" s="14" customFormat="1" ht="21.75" customHeight="1">
      <c r="A7" s="17" t="s">
        <v>15</v>
      </c>
      <c r="B7" s="114" t="s">
        <v>306</v>
      </c>
      <c r="C7" s="17" t="s">
        <v>73</v>
      </c>
      <c r="D7" s="10" t="s">
        <v>15</v>
      </c>
      <c r="E7" s="519" t="s">
        <v>154</v>
      </c>
      <c r="F7" s="520"/>
      <c r="G7" s="16" t="s">
        <v>16</v>
      </c>
      <c r="H7" s="17" t="s">
        <v>13</v>
      </c>
      <c r="I7" s="13"/>
      <c r="J7" s="226" t="s">
        <v>176</v>
      </c>
      <c r="K7" s="4"/>
      <c r="L7" s="118"/>
      <c r="M7" s="118"/>
    </row>
    <row r="8" spans="1:14" s="14" customFormat="1" ht="21.75" customHeight="1" thickBot="1">
      <c r="A8" s="18"/>
      <c r="B8" s="365" t="s">
        <v>308</v>
      </c>
      <c r="C8" s="18" t="s">
        <v>307</v>
      </c>
      <c r="D8" s="11"/>
      <c r="E8" s="363"/>
      <c r="F8" s="11"/>
      <c r="G8" s="19"/>
      <c r="H8" s="17" t="s">
        <v>307</v>
      </c>
      <c r="I8" s="13"/>
      <c r="J8" s="226"/>
      <c r="K8" s="4"/>
      <c r="L8" s="118"/>
      <c r="M8" s="118"/>
    </row>
    <row r="9" spans="1:14" s="174" customFormat="1" ht="21.75" customHeight="1" thickTop="1">
      <c r="A9" s="166"/>
      <c r="B9" s="166"/>
      <c r="C9" s="166"/>
      <c r="D9" s="166">
        <v>31310781.390000001</v>
      </c>
      <c r="E9" s="167" t="s">
        <v>17</v>
      </c>
      <c r="F9" s="168"/>
      <c r="G9" s="169"/>
      <c r="H9" s="292">
        <v>30889211.52</v>
      </c>
      <c r="I9" s="170"/>
      <c r="J9" s="171">
        <v>31310781.390000001</v>
      </c>
      <c r="K9" s="172"/>
      <c r="L9" s="173"/>
      <c r="M9" s="173"/>
      <c r="N9" s="174">
        <v>310000</v>
      </c>
    </row>
    <row r="10" spans="1:14" s="6" customFormat="1" ht="21.75" customHeight="1">
      <c r="A10" s="175"/>
      <c r="B10" s="175"/>
      <c r="C10" s="175"/>
      <c r="D10" s="176"/>
      <c r="E10" s="177" t="s">
        <v>169</v>
      </c>
      <c r="F10" s="178"/>
      <c r="G10" s="113"/>
      <c r="H10" s="293"/>
      <c r="I10" s="180"/>
      <c r="J10" s="181"/>
      <c r="K10" s="172"/>
      <c r="L10" s="172"/>
      <c r="N10" s="6">
        <v>164000</v>
      </c>
    </row>
    <row r="11" spans="1:14" s="6" customFormat="1" ht="21.75" customHeight="1">
      <c r="A11" s="175">
        <f>'หมายเหตุ1 '!E10</f>
        <v>1450000</v>
      </c>
      <c r="B11" s="175"/>
      <c r="C11" s="175">
        <f t="shared" ref="C11:C16" si="0">A11</f>
        <v>1450000</v>
      </c>
      <c r="D11" s="175">
        <f>J11+H11</f>
        <v>1440637.52</v>
      </c>
      <c r="E11" s="182" t="s">
        <v>18</v>
      </c>
      <c r="F11" s="183"/>
      <c r="G11" s="113" t="s">
        <v>181</v>
      </c>
      <c r="H11" s="293">
        <f>'หมายเหตุ1 '!G10</f>
        <v>77055.25</v>
      </c>
      <c r="I11" s="180"/>
      <c r="J11" s="234">
        <v>1363582.27</v>
      </c>
      <c r="L11" s="172"/>
      <c r="M11" s="211"/>
      <c r="N11" s="6">
        <v>100000</v>
      </c>
    </row>
    <row r="12" spans="1:14" s="6" customFormat="1" ht="21.75" customHeight="1">
      <c r="A12" s="175">
        <f>'หมายเหตุ1 '!E23</f>
        <v>310000</v>
      </c>
      <c r="B12" s="175"/>
      <c r="C12" s="175">
        <f t="shared" si="0"/>
        <v>310000</v>
      </c>
      <c r="D12" s="175">
        <f t="shared" ref="D12:D18" si="1">J12+H12</f>
        <v>142959</v>
      </c>
      <c r="E12" s="182" t="s">
        <v>19</v>
      </c>
      <c r="F12" s="183"/>
      <c r="G12" s="113" t="s">
        <v>204</v>
      </c>
      <c r="H12" s="293">
        <f>'หมายเหตุ1 '!G23</f>
        <v>18802</v>
      </c>
      <c r="I12" s="180"/>
      <c r="J12" s="234">
        <v>124157</v>
      </c>
      <c r="K12" s="172"/>
      <c r="L12" s="172">
        <f>SUM(H11:H16)</f>
        <v>9424915.4100000001</v>
      </c>
      <c r="M12" s="211"/>
      <c r="N12" s="6">
        <f>SUM(N9:N11)</f>
        <v>574000</v>
      </c>
    </row>
    <row r="13" spans="1:14" s="6" customFormat="1" ht="21.75" customHeight="1">
      <c r="A13" s="179">
        <f>'หมายเหตุ1 '!E27</f>
        <v>300000</v>
      </c>
      <c r="B13" s="175"/>
      <c r="C13" s="175">
        <f t="shared" si="0"/>
        <v>300000</v>
      </c>
      <c r="D13" s="175">
        <f>J13+H13</f>
        <v>264557.21000000002</v>
      </c>
      <c r="E13" s="182" t="s">
        <v>20</v>
      </c>
      <c r="F13" s="183"/>
      <c r="G13" s="113" t="s">
        <v>205</v>
      </c>
      <c r="H13" s="293">
        <f>'หมายเหตุ1 '!G27</f>
        <v>40112.870000000003</v>
      </c>
      <c r="I13" s="180"/>
      <c r="J13" s="234">
        <v>224444.34</v>
      </c>
      <c r="K13" s="172"/>
      <c r="L13" s="172"/>
      <c r="M13" s="211"/>
    </row>
    <row r="14" spans="1:14" s="6" customFormat="1" ht="21.75" customHeight="1">
      <c r="A14" s="179">
        <f>'หมายเหตุ1 '!E31</f>
        <v>50000</v>
      </c>
      <c r="B14" s="175"/>
      <c r="C14" s="175">
        <f t="shared" si="0"/>
        <v>50000</v>
      </c>
      <c r="D14" s="175">
        <f t="shared" si="1"/>
        <v>22930</v>
      </c>
      <c r="E14" s="182" t="s">
        <v>21</v>
      </c>
      <c r="F14" s="183"/>
      <c r="G14" s="113" t="s">
        <v>206</v>
      </c>
      <c r="H14" s="293">
        <f>'หมายเหตุ1 '!G31</f>
        <v>1000</v>
      </c>
      <c r="I14" s="180"/>
      <c r="J14" s="234">
        <v>21930</v>
      </c>
      <c r="K14" s="172"/>
      <c r="L14" s="172"/>
      <c r="M14" s="211"/>
    </row>
    <row r="15" spans="1:14" s="6" customFormat="1" ht="21.75" customHeight="1">
      <c r="A15" s="179">
        <f>'หมายเหตุ1 '!E46</f>
        <v>28890000</v>
      </c>
      <c r="B15" s="175"/>
      <c r="C15" s="175">
        <f t="shared" si="0"/>
        <v>28890000</v>
      </c>
      <c r="D15" s="175">
        <f t="shared" si="1"/>
        <v>26319075.59</v>
      </c>
      <c r="E15" s="182" t="s">
        <v>22</v>
      </c>
      <c r="F15" s="183"/>
      <c r="G15" s="113" t="s">
        <v>207</v>
      </c>
      <c r="H15" s="293">
        <f>'หมายเหตุ1 '!G46</f>
        <v>5054413.29</v>
      </c>
      <c r="I15" s="180"/>
      <c r="J15" s="184">
        <v>21264662.300000001</v>
      </c>
      <c r="K15" s="172"/>
      <c r="L15" s="172"/>
      <c r="M15" s="211"/>
    </row>
    <row r="16" spans="1:14" s="6" customFormat="1" ht="21.75" customHeight="1">
      <c r="A16" s="179">
        <f>'หมายเหตุ1 '!E53</f>
        <v>22000000</v>
      </c>
      <c r="B16" s="175"/>
      <c r="C16" s="175">
        <f t="shared" si="0"/>
        <v>22000000</v>
      </c>
      <c r="D16" s="175">
        <f t="shared" si="1"/>
        <v>21513703</v>
      </c>
      <c r="E16" s="182" t="s">
        <v>71</v>
      </c>
      <c r="F16" s="183"/>
      <c r="G16" s="113" t="s">
        <v>208</v>
      </c>
      <c r="H16" s="293">
        <f>'หมายเหตุ1 '!G53</f>
        <v>4233532</v>
      </c>
      <c r="I16" s="180"/>
      <c r="J16" s="184">
        <v>17280171</v>
      </c>
      <c r="K16" s="172"/>
      <c r="L16" s="172"/>
      <c r="M16" s="211"/>
    </row>
    <row r="17" spans="1:13" s="6" customFormat="1" ht="21.75" customHeight="1">
      <c r="A17" s="202"/>
      <c r="B17" s="175"/>
      <c r="C17" s="175">
        <v>0</v>
      </c>
      <c r="D17" s="187">
        <f t="shared" si="1"/>
        <v>53952.85</v>
      </c>
      <c r="E17" s="182" t="s">
        <v>32</v>
      </c>
      <c r="F17" s="183"/>
      <c r="G17" s="113" t="s">
        <v>194</v>
      </c>
      <c r="H17" s="293">
        <v>0</v>
      </c>
      <c r="I17" s="180"/>
      <c r="J17" s="184">
        <v>53952.85</v>
      </c>
      <c r="K17" s="211"/>
      <c r="L17" s="172" t="e">
        <f>J17+J18+#REF!+#REF!+#REF!+#REF!+#REF!</f>
        <v>#REF!</v>
      </c>
      <c r="M17" s="186"/>
    </row>
    <row r="18" spans="1:13" s="6" customFormat="1" ht="21.75" customHeight="1">
      <c r="A18" s="202"/>
      <c r="B18" s="175"/>
      <c r="C18" s="175">
        <v>0</v>
      </c>
      <c r="D18" s="187">
        <f t="shared" si="1"/>
        <v>2308439.42</v>
      </c>
      <c r="E18" s="182" t="s">
        <v>111</v>
      </c>
      <c r="F18" s="183"/>
      <c r="G18" s="113" t="s">
        <v>202</v>
      </c>
      <c r="H18" s="293">
        <f>'หมายเหตุ2  '!C17</f>
        <v>111533.64</v>
      </c>
      <c r="I18" s="180"/>
      <c r="J18" s="184">
        <v>2196905.7799999998</v>
      </c>
      <c r="K18" s="211">
        <f>H11+H12+H13+H14+H15+H16</f>
        <v>9424915.4100000001</v>
      </c>
      <c r="L18" s="172"/>
      <c r="M18" s="186"/>
    </row>
    <row r="19" spans="1:13" s="6" customFormat="1" ht="21.75" customHeight="1">
      <c r="A19" s="202"/>
      <c r="B19" s="175"/>
      <c r="C19" s="175">
        <v>0</v>
      </c>
      <c r="D19" s="187">
        <f t="shared" ref="D19:D24" si="2">H19+J19</f>
        <v>6744.42</v>
      </c>
      <c r="E19" s="182" t="s">
        <v>224</v>
      </c>
      <c r="F19" s="188"/>
      <c r="G19" s="113"/>
      <c r="H19" s="293">
        <f>'ใบผ่านมาตรฐาน 1, 2'!G21+32.04</f>
        <v>238.51999999999998</v>
      </c>
      <c r="I19" s="180"/>
      <c r="J19" s="184">
        <v>6505.9</v>
      </c>
      <c r="K19" s="211"/>
      <c r="L19" s="172">
        <v>7378.99</v>
      </c>
      <c r="M19" s="186"/>
    </row>
    <row r="20" spans="1:13" s="6" customFormat="1" ht="21.75" customHeight="1">
      <c r="A20" s="202"/>
      <c r="B20" s="175"/>
      <c r="C20" s="175"/>
      <c r="D20" s="187">
        <f t="shared" si="2"/>
        <v>34510</v>
      </c>
      <c r="E20" s="182" t="s">
        <v>393</v>
      </c>
      <c r="F20" s="188"/>
      <c r="G20" s="113"/>
      <c r="H20" s="293">
        <v>0</v>
      </c>
      <c r="I20" s="180"/>
      <c r="J20" s="184">
        <v>34510</v>
      </c>
      <c r="K20" s="211"/>
      <c r="L20" s="172"/>
      <c r="M20" s="186"/>
    </row>
    <row r="21" spans="1:13" s="6" customFormat="1" ht="21.75" customHeight="1">
      <c r="A21" s="202"/>
      <c r="B21" s="175"/>
      <c r="C21" s="175"/>
      <c r="D21" s="187">
        <f t="shared" si="2"/>
        <v>43610</v>
      </c>
      <c r="E21" s="182" t="s">
        <v>394</v>
      </c>
      <c r="F21" s="188"/>
      <c r="G21" s="113"/>
      <c r="H21" s="293">
        <v>0</v>
      </c>
      <c r="I21" s="180"/>
      <c r="J21" s="184">
        <v>43610</v>
      </c>
      <c r="K21" s="211"/>
      <c r="L21" s="172"/>
      <c r="M21" s="186"/>
    </row>
    <row r="22" spans="1:13" s="6" customFormat="1" ht="21.75" customHeight="1">
      <c r="A22" s="202"/>
      <c r="B22" s="175"/>
      <c r="C22" s="175"/>
      <c r="D22" s="187">
        <f t="shared" si="2"/>
        <v>3700</v>
      </c>
      <c r="E22" s="182" t="s">
        <v>392</v>
      </c>
      <c r="F22" s="188"/>
      <c r="G22" s="113"/>
      <c r="H22" s="293">
        <f>'ใบผ่านมาตรฐาน 1, 2'!G27</f>
        <v>600</v>
      </c>
      <c r="I22" s="180"/>
      <c r="J22" s="184">
        <v>3100</v>
      </c>
      <c r="K22" s="211"/>
      <c r="L22" s="172"/>
      <c r="M22" s="186"/>
    </row>
    <row r="23" spans="1:13" s="6" customFormat="1" ht="21.75" customHeight="1">
      <c r="A23" s="202"/>
      <c r="B23" s="175"/>
      <c r="C23" s="175"/>
      <c r="D23" s="187">
        <f t="shared" si="2"/>
        <v>2617</v>
      </c>
      <c r="E23" s="182" t="s">
        <v>429</v>
      </c>
      <c r="F23" s="188"/>
      <c r="G23" s="113"/>
      <c r="H23" s="293">
        <f>'ใบผ่านมาตรฐาน 1, 2'!G28</f>
        <v>668</v>
      </c>
      <c r="I23" s="180"/>
      <c r="J23" s="184">
        <v>1949</v>
      </c>
      <c r="K23" s="211"/>
      <c r="L23" s="172"/>
      <c r="M23" s="186"/>
    </row>
    <row r="24" spans="1:13" s="6" customFormat="1" ht="21.75" customHeight="1">
      <c r="A24" s="202"/>
      <c r="B24" s="175"/>
      <c r="C24" s="175"/>
      <c r="D24" s="187">
        <f t="shared" si="2"/>
        <v>240000</v>
      </c>
      <c r="E24" s="182" t="s">
        <v>427</v>
      </c>
      <c r="F24" s="188"/>
      <c r="G24" s="113"/>
      <c r="H24" s="293">
        <f>20000+220000</f>
        <v>240000</v>
      </c>
      <c r="I24" s="180"/>
      <c r="J24" s="184"/>
      <c r="K24" s="211"/>
      <c r="L24" s="172"/>
      <c r="M24" s="186"/>
    </row>
    <row r="25" spans="1:13" s="6" customFormat="1" ht="21.75" customHeight="1">
      <c r="A25" s="202"/>
      <c r="B25" s="175"/>
      <c r="C25" s="175">
        <v>0</v>
      </c>
      <c r="D25" s="187">
        <f>J25+H25</f>
        <v>4403208</v>
      </c>
      <c r="E25" s="182" t="s">
        <v>338</v>
      </c>
      <c r="F25" s="188"/>
      <c r="G25" s="113"/>
      <c r="H25" s="293">
        <f>401200+300800+20800</f>
        <v>722800</v>
      </c>
      <c r="I25" s="180"/>
      <c r="J25" s="184">
        <v>3680408</v>
      </c>
      <c r="K25" s="172"/>
      <c r="L25" s="172"/>
      <c r="M25" s="211"/>
    </row>
    <row r="26" spans="1:13" s="6" customFormat="1" ht="21.75" customHeight="1">
      <c r="A26" s="202"/>
      <c r="B26" s="175"/>
      <c r="C26" s="175"/>
      <c r="D26" s="187">
        <f>J26+H26</f>
        <v>58000</v>
      </c>
      <c r="E26" s="182" t="s">
        <v>401</v>
      </c>
      <c r="F26" s="188"/>
      <c r="G26" s="113"/>
      <c r="H26" s="293">
        <v>0</v>
      </c>
      <c r="I26" s="180"/>
      <c r="J26" s="184">
        <v>58000</v>
      </c>
      <c r="K26" s="172"/>
      <c r="L26" s="172"/>
      <c r="M26" s="211"/>
    </row>
    <row r="27" spans="1:13" s="174" customFormat="1" ht="27" customHeight="1">
      <c r="A27" s="393">
        <f>SUM(A11:A25)</f>
        <v>53000000</v>
      </c>
      <c r="B27" s="390"/>
      <c r="C27" s="390">
        <f>SUM(C11:C25)</f>
        <v>53000000</v>
      </c>
      <c r="D27" s="390">
        <f>SUM(D11:D26)</f>
        <v>56858644.010000005</v>
      </c>
      <c r="E27" s="387" t="s">
        <v>24</v>
      </c>
      <c r="F27" s="388"/>
      <c r="G27" s="389"/>
      <c r="H27" s="295">
        <f>SUM(H11:H26)</f>
        <v>10500755.57</v>
      </c>
      <c r="I27" s="189" t="s">
        <v>7</v>
      </c>
      <c r="J27" s="316">
        <f>SUM(J11:J26)</f>
        <v>46357888.439999998</v>
      </c>
      <c r="K27" s="172">
        <f>D27-J27</f>
        <v>10500755.570000008</v>
      </c>
      <c r="L27" s="173"/>
      <c r="M27" s="173"/>
    </row>
    <row r="28" spans="1:13" s="2" customFormat="1" ht="30" customHeight="1" thickBot="1">
      <c r="A28" s="533" t="s">
        <v>70</v>
      </c>
      <c r="B28" s="533"/>
      <c r="C28" s="533"/>
      <c r="D28" s="533"/>
      <c r="E28" s="533"/>
      <c r="F28" s="533"/>
      <c r="G28" s="533"/>
      <c r="H28" s="533"/>
      <c r="I28" s="3"/>
      <c r="J28" s="98"/>
      <c r="K28" s="4"/>
      <c r="L28" s="4"/>
      <c r="M28" s="4"/>
    </row>
    <row r="29" spans="1:13" s="103" customFormat="1" ht="24" customHeight="1" thickTop="1">
      <c r="A29" s="528" t="s">
        <v>10</v>
      </c>
      <c r="B29" s="529"/>
      <c r="C29" s="529"/>
      <c r="D29" s="529"/>
      <c r="E29" s="369"/>
      <c r="F29" s="370"/>
      <c r="G29" s="279"/>
      <c r="H29" s="368" t="s">
        <v>6</v>
      </c>
      <c r="I29" s="105"/>
      <c r="J29" s="477">
        <v>0</v>
      </c>
      <c r="K29" s="119"/>
      <c r="L29" s="119"/>
      <c r="M29" s="119"/>
    </row>
    <row r="30" spans="1:13" s="103" customFormat="1" ht="24" customHeight="1">
      <c r="A30" s="236" t="s">
        <v>12</v>
      </c>
      <c r="B30" s="114" t="s">
        <v>305</v>
      </c>
      <c r="C30" s="15"/>
      <c r="D30" s="10" t="s">
        <v>13</v>
      </c>
      <c r="E30" s="128"/>
      <c r="F30" s="371"/>
      <c r="G30" s="101" t="s">
        <v>14</v>
      </c>
      <c r="H30" s="17" t="s">
        <v>11</v>
      </c>
      <c r="I30" s="105"/>
      <c r="J30" s="235"/>
      <c r="K30" s="119"/>
      <c r="L30" s="119"/>
      <c r="M30" s="119"/>
    </row>
    <row r="31" spans="1:13" s="103" customFormat="1" ht="24" customHeight="1">
      <c r="A31" s="160" t="s">
        <v>15</v>
      </c>
      <c r="B31" s="114" t="s">
        <v>306</v>
      </c>
      <c r="C31" s="17" t="s">
        <v>73</v>
      </c>
      <c r="D31" s="10" t="s">
        <v>15</v>
      </c>
      <c r="E31" s="521" t="s">
        <v>1</v>
      </c>
      <c r="F31" s="522"/>
      <c r="G31" s="101" t="s">
        <v>16</v>
      </c>
      <c r="H31" s="17" t="s">
        <v>13</v>
      </c>
      <c r="I31" s="105"/>
      <c r="J31" s="235"/>
      <c r="K31" s="119"/>
      <c r="L31" s="119"/>
      <c r="M31" s="119"/>
    </row>
    <row r="32" spans="1:13" s="103" customFormat="1" ht="24" customHeight="1" thickBot="1">
      <c r="A32" s="237"/>
      <c r="B32" s="365" t="s">
        <v>308</v>
      </c>
      <c r="C32" s="18" t="s">
        <v>307</v>
      </c>
      <c r="D32" s="11"/>
      <c r="E32" s="100"/>
      <c r="F32" s="200"/>
      <c r="G32" s="238"/>
      <c r="H32" s="17" t="s">
        <v>307</v>
      </c>
      <c r="I32" s="105"/>
      <c r="J32" s="235"/>
      <c r="K32" s="119"/>
      <c r="L32" s="119"/>
      <c r="M32" s="119"/>
    </row>
    <row r="33" spans="1:13" s="6" customFormat="1" ht="24" customHeight="1" thickTop="1">
      <c r="A33" s="194"/>
      <c r="B33" s="190"/>
      <c r="C33" s="190"/>
      <c r="D33" s="190"/>
      <c r="E33" s="191" t="s">
        <v>25</v>
      </c>
      <c r="F33" s="192"/>
      <c r="G33" s="193"/>
      <c r="H33" s="194"/>
      <c r="I33" s="180"/>
      <c r="J33" s="181"/>
      <c r="K33" s="172"/>
      <c r="L33" s="172"/>
      <c r="M33" s="172"/>
    </row>
    <row r="34" spans="1:13" s="315" customFormat="1" ht="24" customHeight="1">
      <c r="A34" s="498">
        <f>15944380-80400-240000-76725-200000-10000-20000-20000-30000-30000-25000-300000-34530-6000-31000</f>
        <v>14840725</v>
      </c>
      <c r="B34" s="175"/>
      <c r="C34" s="175">
        <f>A34</f>
        <v>14840725</v>
      </c>
      <c r="D34" s="175">
        <f>H34+J34</f>
        <v>11925374</v>
      </c>
      <c r="E34" s="182" t="s">
        <v>139</v>
      </c>
      <c r="F34" s="200"/>
      <c r="G34" s="195" t="s">
        <v>209</v>
      </c>
      <c r="H34" s="179">
        <f>401200+728131</f>
        <v>1129331</v>
      </c>
      <c r="I34" s="312"/>
      <c r="J34" s="313">
        <v>10796043</v>
      </c>
      <c r="K34" s="314"/>
      <c r="L34" s="314"/>
      <c r="M34" s="314"/>
    </row>
    <row r="35" spans="1:13" s="6" customFormat="1" ht="24" customHeight="1">
      <c r="A35" s="179">
        <v>2916720</v>
      </c>
      <c r="B35" s="175"/>
      <c r="C35" s="175">
        <f t="shared" ref="C35:C44" si="3">A35</f>
        <v>2916720</v>
      </c>
      <c r="D35" s="175">
        <f>H35+J35</f>
        <v>2223480</v>
      </c>
      <c r="E35" s="196" t="s">
        <v>255</v>
      </c>
      <c r="G35" s="195" t="s">
        <v>210</v>
      </c>
      <c r="H35" s="179">
        <f>'ใบผ่านมาตรฐาน 1, 2'!F43</f>
        <v>221460</v>
      </c>
      <c r="I35" s="180"/>
      <c r="J35" s="211">
        <v>2002020</v>
      </c>
      <c r="L35" s="172"/>
      <c r="M35" s="172"/>
    </row>
    <row r="36" spans="1:13" s="6" customFormat="1" ht="24" customHeight="1">
      <c r="A36" s="498">
        <f>13033300+34530+6000+45180+54000+6000+34500-34500+6000-6000+61500+9000</f>
        <v>13249510</v>
      </c>
      <c r="B36" s="175"/>
      <c r="C36" s="175">
        <f t="shared" si="3"/>
        <v>13249510</v>
      </c>
      <c r="D36" s="175">
        <f t="shared" ref="D36:D44" si="4">H36+J36</f>
        <v>7698390</v>
      </c>
      <c r="E36" s="196" t="s">
        <v>299</v>
      </c>
      <c r="G36" s="195"/>
      <c r="H36" s="179">
        <f>'ใบผ่านมาตรฐาน 1, 2'!$F$44+'ใบผ่านมาตรฐาน 1, 2'!$F$45+'ใบผ่านมาตรฐาน 1, 2'!$F$46</f>
        <v>799390</v>
      </c>
      <c r="I36" s="180"/>
      <c r="J36" s="211">
        <v>6899000</v>
      </c>
      <c r="K36" s="172"/>
      <c r="L36" s="172"/>
      <c r="M36" s="172"/>
    </row>
    <row r="37" spans="1:13" s="6" customFormat="1" ht="24" customHeight="1">
      <c r="A37" s="498">
        <f>512000+69750-62775+62775-62775-6975+20000+300000-45180-20000</f>
        <v>766820</v>
      </c>
      <c r="B37" s="175"/>
      <c r="C37" s="175">
        <f t="shared" si="3"/>
        <v>766820</v>
      </c>
      <c r="D37" s="175">
        <f t="shared" si="4"/>
        <v>148150</v>
      </c>
      <c r="E37" s="196" t="s">
        <v>27</v>
      </c>
      <c r="G37" s="195" t="s">
        <v>211</v>
      </c>
      <c r="H37" s="179">
        <f>'ใบผ่านมาตรฐาน 1, 2'!F47</f>
        <v>12200</v>
      </c>
      <c r="I37" s="180"/>
      <c r="J37" s="211">
        <v>135950</v>
      </c>
      <c r="K37" s="172"/>
      <c r="L37" s="172"/>
      <c r="M37" s="172"/>
    </row>
    <row r="38" spans="1:13" s="6" customFormat="1" ht="24" customHeight="1">
      <c r="A38" s="179">
        <f>4383800+36800-36800+6975+15000-15000+200000+10000+20000+30000+31000-34000-6000-61500-9000</f>
        <v>4571275</v>
      </c>
      <c r="B38" s="175"/>
      <c r="C38" s="175">
        <f t="shared" si="3"/>
        <v>4571275</v>
      </c>
      <c r="D38" s="175">
        <f t="shared" si="4"/>
        <v>2253237.0999999996</v>
      </c>
      <c r="E38" s="196" t="s">
        <v>28</v>
      </c>
      <c r="G38" s="195" t="s">
        <v>212</v>
      </c>
      <c r="H38" s="179">
        <f>300800+450763.44</f>
        <v>751563.44</v>
      </c>
      <c r="I38" s="180"/>
      <c r="J38" s="211">
        <v>1501673.66</v>
      </c>
      <c r="K38" s="172">
        <f>SUM(H34:H40)</f>
        <v>3055759.71</v>
      </c>
      <c r="L38" s="172"/>
      <c r="M38" s="172"/>
    </row>
    <row r="39" spans="1:13" s="6" customFormat="1" ht="24" customHeight="1">
      <c r="A39" s="179">
        <f>2608000+6975+62775-62775+62775+30000</f>
        <v>2707750</v>
      </c>
      <c r="B39" s="175"/>
      <c r="C39" s="175">
        <f t="shared" si="3"/>
        <v>2707750</v>
      </c>
      <c r="D39" s="175">
        <f>H39+J39</f>
        <v>1107489.06</v>
      </c>
      <c r="E39" s="196" t="s">
        <v>29</v>
      </c>
      <c r="G39" s="195" t="s">
        <v>213</v>
      </c>
      <c r="H39" s="179">
        <f>'ใบผ่านมาตรฐาน 1, 2'!F49</f>
        <v>104204.72</v>
      </c>
      <c r="I39" s="180"/>
      <c r="J39" s="211">
        <v>1003284.34</v>
      </c>
      <c r="K39" s="172"/>
      <c r="L39" s="172"/>
      <c r="M39" s="172"/>
    </row>
    <row r="40" spans="1:13" s="6" customFormat="1" ht="24" customHeight="1">
      <c r="A40" s="498">
        <f>525000+25000</f>
        <v>550000</v>
      </c>
      <c r="B40" s="175"/>
      <c r="C40" s="175">
        <f t="shared" si="3"/>
        <v>550000</v>
      </c>
      <c r="D40" s="175">
        <f>H40+J40</f>
        <v>361613.77999999997</v>
      </c>
      <c r="E40" s="196" t="s">
        <v>30</v>
      </c>
      <c r="G40" s="195" t="s">
        <v>214</v>
      </c>
      <c r="H40" s="179">
        <f>'ใบผ่านมาตรฐาน 1, 2'!F50</f>
        <v>37610.550000000003</v>
      </c>
      <c r="I40" s="180"/>
      <c r="J40" s="211">
        <v>324003.23</v>
      </c>
      <c r="K40" s="172"/>
      <c r="L40" s="172"/>
      <c r="M40" s="172"/>
    </row>
    <row r="41" spans="1:13" s="315" customFormat="1" ht="24" customHeight="1">
      <c r="A41" s="179">
        <f>407000+80400</f>
        <v>487400</v>
      </c>
      <c r="B41" s="175"/>
      <c r="C41" s="175">
        <f t="shared" si="3"/>
        <v>487400</v>
      </c>
      <c r="D41" s="175">
        <f>H41+J41</f>
        <v>221750</v>
      </c>
      <c r="E41" s="196" t="s">
        <v>125</v>
      </c>
      <c r="F41" s="6"/>
      <c r="G41" s="195" t="s">
        <v>215</v>
      </c>
      <c r="H41" s="179">
        <f>'ใบผ่านมาตรฐาน 1, 2'!F51</f>
        <v>122500</v>
      </c>
      <c r="I41" s="312"/>
      <c r="J41" s="313">
        <v>99250</v>
      </c>
      <c r="K41" s="314"/>
      <c r="L41" s="377" t="s">
        <v>315</v>
      </c>
      <c r="M41" s="377" t="s">
        <v>316</v>
      </c>
    </row>
    <row r="42" spans="1:13" s="315" customFormat="1" ht="24" customHeight="1">
      <c r="A42" s="179">
        <f>10609800+933000-933000</f>
        <v>10609800</v>
      </c>
      <c r="B42" s="175"/>
      <c r="C42" s="175">
        <f t="shared" si="3"/>
        <v>10609800</v>
      </c>
      <c r="D42" s="175">
        <f>H42+J42</f>
        <v>7812700</v>
      </c>
      <c r="E42" s="196" t="s">
        <v>31</v>
      </c>
      <c r="F42" s="6"/>
      <c r="G42" s="195" t="s">
        <v>203</v>
      </c>
      <c r="H42" s="179">
        <f>'ใบผ่านมาตรฐาน 1, 2'!F52</f>
        <v>1625000</v>
      </c>
      <c r="I42" s="312"/>
      <c r="J42" s="313">
        <v>6187700</v>
      </c>
      <c r="K42" s="314"/>
      <c r="L42" s="314">
        <f>SUM(H32:H44)</f>
        <v>5283259.71</v>
      </c>
      <c r="M42" s="314">
        <f>SUM(D32:D44)</f>
        <v>36030183.939999998</v>
      </c>
    </row>
    <row r="43" spans="1:13" s="6" customFormat="1" ht="24" customHeight="1">
      <c r="A43" s="179">
        <v>20000</v>
      </c>
      <c r="B43" s="175"/>
      <c r="C43" s="175">
        <f t="shared" si="3"/>
        <v>20000</v>
      </c>
      <c r="D43" s="175">
        <f>H43+J43</f>
        <v>0</v>
      </c>
      <c r="E43" s="182" t="s">
        <v>198</v>
      </c>
      <c r="G43" s="113" t="s">
        <v>217</v>
      </c>
      <c r="H43" s="179">
        <v>0</v>
      </c>
      <c r="I43" s="180"/>
      <c r="J43" s="184">
        <v>0</v>
      </c>
      <c r="K43" s="172"/>
      <c r="L43" s="172"/>
      <c r="M43" s="172"/>
    </row>
    <row r="44" spans="1:13" s="315" customFormat="1" ht="24" customHeight="1">
      <c r="A44" s="179">
        <f>2040000+240000</f>
        <v>2280000</v>
      </c>
      <c r="B44" s="175"/>
      <c r="C44" s="175">
        <f t="shared" si="3"/>
        <v>2280000</v>
      </c>
      <c r="D44" s="175">
        <f t="shared" si="4"/>
        <v>2278000</v>
      </c>
      <c r="E44" s="196" t="s">
        <v>23</v>
      </c>
      <c r="F44" s="6"/>
      <c r="G44" s="195" t="s">
        <v>216</v>
      </c>
      <c r="H44" s="179">
        <f>'ใบผ่านมาตรฐาน 1, 2'!F53</f>
        <v>480000</v>
      </c>
      <c r="I44" s="312"/>
      <c r="J44" s="313">
        <v>1798000</v>
      </c>
      <c r="K44" s="314"/>
      <c r="L44" s="314"/>
      <c r="M44" s="314"/>
    </row>
    <row r="45" spans="1:13" s="6" customFormat="1" ht="21" customHeight="1">
      <c r="A45" s="202"/>
      <c r="B45" s="202"/>
      <c r="C45" s="180"/>
      <c r="D45" s="187">
        <f>H45+J45</f>
        <v>6215683.0800000001</v>
      </c>
      <c r="E45" s="196" t="s">
        <v>32</v>
      </c>
      <c r="G45" s="113" t="s">
        <v>194</v>
      </c>
      <c r="H45" s="179">
        <v>32.04</v>
      </c>
      <c r="I45" s="180"/>
      <c r="J45" s="184">
        <v>6215651.04</v>
      </c>
      <c r="K45" s="172"/>
      <c r="L45" s="172"/>
      <c r="M45" s="172"/>
    </row>
    <row r="46" spans="1:13" s="6" customFormat="1" ht="21" customHeight="1">
      <c r="A46" s="202"/>
      <c r="B46" s="202"/>
      <c r="C46" s="180"/>
      <c r="D46" s="187">
        <f>H46+J46</f>
        <v>3049448.96</v>
      </c>
      <c r="E46" s="196" t="s">
        <v>123</v>
      </c>
      <c r="G46" s="113"/>
      <c r="H46" s="179">
        <f>'ใบผ่านมาตรฐาน 1, 2'!F62</f>
        <v>0</v>
      </c>
      <c r="I46" s="180"/>
      <c r="J46" s="184">
        <v>3049448.96</v>
      </c>
      <c r="K46" s="172"/>
      <c r="L46" s="172"/>
      <c r="M46" s="172"/>
    </row>
    <row r="47" spans="1:13" s="6" customFormat="1" ht="24" customHeight="1">
      <c r="A47" s="202"/>
      <c r="B47" s="202"/>
      <c r="C47" s="180"/>
      <c r="D47" s="187">
        <f>J47+H47</f>
        <v>4403208</v>
      </c>
      <c r="E47" s="182" t="s">
        <v>165</v>
      </c>
      <c r="G47" s="113"/>
      <c r="H47" s="179">
        <v>722800</v>
      </c>
      <c r="I47" s="180"/>
      <c r="J47" s="184">
        <v>3680408</v>
      </c>
      <c r="K47" s="172"/>
      <c r="L47" s="172"/>
      <c r="M47" s="172"/>
    </row>
    <row r="48" spans="1:13" s="6" customFormat="1" ht="24" customHeight="1">
      <c r="A48" s="202"/>
      <c r="B48" s="202"/>
      <c r="C48" s="180"/>
      <c r="D48" s="187">
        <f>J48+H48</f>
        <v>1192000</v>
      </c>
      <c r="E48" s="196" t="s">
        <v>313</v>
      </c>
      <c r="G48" s="113" t="s">
        <v>218</v>
      </c>
      <c r="H48" s="179">
        <f>'หมายเหตุ 3'!E17</f>
        <v>0</v>
      </c>
      <c r="I48" s="180"/>
      <c r="J48" s="184">
        <v>1192000</v>
      </c>
      <c r="K48" s="172"/>
      <c r="L48" s="172"/>
      <c r="M48" s="172"/>
    </row>
    <row r="49" spans="1:14" s="6" customFormat="1" ht="24" customHeight="1">
      <c r="A49" s="202" t="s">
        <v>7</v>
      </c>
      <c r="B49" s="202"/>
      <c r="C49" s="180"/>
      <c r="D49" s="187">
        <f>H49+J49</f>
        <v>2137076.91</v>
      </c>
      <c r="E49" s="196" t="s">
        <v>312</v>
      </c>
      <c r="G49" s="113" t="s">
        <v>202</v>
      </c>
      <c r="H49" s="293">
        <f>'หมายเหตุ2  '!E17</f>
        <v>342050.83</v>
      </c>
      <c r="I49" s="180"/>
      <c r="J49" s="184">
        <v>1795026.08</v>
      </c>
      <c r="K49" s="172"/>
      <c r="L49" s="172"/>
      <c r="M49" s="172"/>
    </row>
    <row r="50" spans="1:14" s="6" customFormat="1" ht="24" customHeight="1">
      <c r="A50" s="202"/>
      <c r="B50" s="202"/>
      <c r="C50" s="180"/>
      <c r="D50" s="187">
        <f>H50+J50</f>
        <v>100000</v>
      </c>
      <c r="E50" s="182" t="s">
        <v>401</v>
      </c>
      <c r="F50" s="188"/>
      <c r="G50" s="113"/>
      <c r="H50" s="293">
        <v>0</v>
      </c>
      <c r="I50" s="180"/>
      <c r="J50" s="184">
        <v>100000</v>
      </c>
      <c r="K50" s="172"/>
      <c r="L50" s="172"/>
      <c r="M50" s="172"/>
    </row>
    <row r="51" spans="1:14" s="6" customFormat="1" ht="24" customHeight="1">
      <c r="A51" s="202"/>
      <c r="B51" s="202"/>
      <c r="C51" s="180"/>
      <c r="D51" s="187">
        <f>H51+J51</f>
        <v>0</v>
      </c>
      <c r="E51" s="182"/>
      <c r="F51" s="188"/>
      <c r="G51" s="113"/>
      <c r="H51" s="293">
        <v>0</v>
      </c>
      <c r="I51" s="180"/>
      <c r="J51" s="184"/>
      <c r="K51" s="172"/>
      <c r="L51" s="172"/>
      <c r="M51" s="172"/>
    </row>
    <row r="52" spans="1:14" s="6" customFormat="1" ht="24" customHeight="1" thickBot="1">
      <c r="A52" s="185">
        <f>SUM(A34:A49)</f>
        <v>53000000</v>
      </c>
      <c r="B52" s="185">
        <f>SUM(B34:B49)</f>
        <v>0</v>
      </c>
      <c r="C52" s="185">
        <f>SUM(C34:C49)</f>
        <v>53000000</v>
      </c>
      <c r="D52" s="372">
        <f>SUM(D34:D51)</f>
        <v>53127600.890000001</v>
      </c>
      <c r="E52" s="523" t="s">
        <v>314</v>
      </c>
      <c r="F52" s="524"/>
      <c r="G52" s="113"/>
      <c r="H52" s="294">
        <f>SUM(H34:H51)</f>
        <v>6348142.5800000001</v>
      </c>
      <c r="I52" s="373"/>
      <c r="J52" s="199">
        <f>SUM(J34:J50)</f>
        <v>46779458.310000002</v>
      </c>
      <c r="K52" s="172"/>
      <c r="L52" s="172"/>
      <c r="M52" s="172">
        <v>23624516.170000002</v>
      </c>
      <c r="N52" s="197">
        <f>M52-J52</f>
        <v>-23154942.140000001</v>
      </c>
    </row>
    <row r="53" spans="1:14" s="6" customFormat="1" ht="24" customHeight="1" thickTop="1">
      <c r="A53" s="463">
        <v>53000000</v>
      </c>
      <c r="B53" s="180"/>
      <c r="C53" s="180"/>
      <c r="D53" s="345">
        <f>D27-D52</f>
        <v>3731043.1200000048</v>
      </c>
      <c r="E53" s="523" t="s">
        <v>113</v>
      </c>
      <c r="F53" s="524"/>
      <c r="G53" s="113"/>
      <c r="H53" s="345">
        <f>H27-H52</f>
        <v>4152612.99</v>
      </c>
      <c r="I53" s="180"/>
      <c r="J53" s="201">
        <f>J27-J52</f>
        <v>-421569.87000000477</v>
      </c>
      <c r="K53" s="172"/>
      <c r="L53" s="172"/>
      <c r="M53" s="172"/>
    </row>
    <row r="54" spans="1:14" s="6" customFormat="1" ht="24" customHeight="1">
      <c r="A54" s="186"/>
      <c r="B54" s="180"/>
      <c r="C54" s="180"/>
      <c r="D54" s="202"/>
      <c r="E54" s="523" t="s">
        <v>33</v>
      </c>
      <c r="F54" s="524"/>
      <c r="G54" s="113"/>
      <c r="H54" s="179"/>
      <c r="I54" s="180"/>
      <c r="J54" s="181"/>
      <c r="K54" s="172"/>
      <c r="L54" s="172"/>
      <c r="M54" s="172"/>
    </row>
    <row r="55" spans="1:14" s="6" customFormat="1" ht="24" customHeight="1">
      <c r="A55" s="180"/>
      <c r="B55" s="180"/>
      <c r="C55" s="180"/>
      <c r="D55" s="198">
        <v>0</v>
      </c>
      <c r="E55" s="523" t="s">
        <v>114</v>
      </c>
      <c r="F55" s="524"/>
      <c r="G55" s="113"/>
      <c r="H55" s="268">
        <v>0</v>
      </c>
      <c r="I55" s="230"/>
      <c r="J55" s="199">
        <v>0</v>
      </c>
      <c r="K55" s="172"/>
      <c r="L55" s="172"/>
      <c r="M55" s="172"/>
    </row>
    <row r="56" spans="1:14" s="174" customFormat="1" ht="29.25" customHeight="1">
      <c r="A56" s="317"/>
      <c r="B56" s="317"/>
      <c r="C56" s="317"/>
      <c r="D56" s="203">
        <f>D9+D27-D52</f>
        <v>35041824.510000005</v>
      </c>
      <c r="E56" s="537" t="s">
        <v>34</v>
      </c>
      <c r="F56" s="538"/>
      <c r="G56" s="112"/>
      <c r="H56" s="204">
        <f>H9+H27-H52</f>
        <v>35041824.510000005</v>
      </c>
      <c r="I56" s="231" t="s">
        <v>7</v>
      </c>
      <c r="J56" s="204">
        <f>J9+J27-J52</f>
        <v>30889211.519999996</v>
      </c>
      <c r="K56" s="172"/>
      <c r="L56" s="173">
        <v>0</v>
      </c>
      <c r="M56" s="173">
        <f>L56-J56</f>
        <v>-30889211.519999996</v>
      </c>
    </row>
    <row r="57" spans="1:14" s="103" customFormat="1" ht="22.5" customHeight="1">
      <c r="A57" s="278"/>
      <c r="B57" s="278"/>
      <c r="C57" s="278"/>
      <c r="F57" s="130"/>
      <c r="G57" s="517"/>
      <c r="H57" s="517"/>
      <c r="I57" s="105"/>
      <c r="J57" s="221">
        <f>'งบทดลอง '!F6</f>
        <v>35041824.509999998</v>
      </c>
      <c r="K57" s="119"/>
      <c r="L57" s="119"/>
      <c r="M57" s="119"/>
    </row>
    <row r="58" spans="1:14" s="103" customFormat="1" ht="24" customHeight="1">
      <c r="A58" s="525"/>
      <c r="B58" s="525"/>
      <c r="C58" s="525"/>
      <c r="D58" s="525"/>
      <c r="E58" s="518"/>
      <c r="F58" s="518"/>
      <c r="G58" s="517"/>
      <c r="H58" s="517"/>
      <c r="I58" s="105"/>
      <c r="J58" s="221"/>
      <c r="K58" s="119">
        <f>J57-D56</f>
        <v>0</v>
      </c>
      <c r="L58" s="119"/>
      <c r="M58" s="119"/>
    </row>
    <row r="59" spans="1:14" s="103" customFormat="1" ht="21" customHeight="1">
      <c r="A59" s="525"/>
      <c r="B59" s="525"/>
      <c r="C59" s="525"/>
      <c r="D59" s="525"/>
      <c r="E59" s="526"/>
      <c r="F59" s="525"/>
      <c r="G59" s="517"/>
      <c r="H59" s="517"/>
      <c r="I59" s="105"/>
      <c r="J59" s="222">
        <f>J57-H56</f>
        <v>0</v>
      </c>
      <c r="K59" s="119"/>
      <c r="L59" s="119"/>
      <c r="M59" s="119"/>
    </row>
    <row r="60" spans="1:14" s="103" customFormat="1" ht="30.75" customHeight="1">
      <c r="A60" s="130"/>
      <c r="B60" s="130"/>
      <c r="C60" s="130"/>
      <c r="D60" s="130"/>
      <c r="E60" s="130"/>
      <c r="F60" s="441"/>
      <c r="G60" s="233"/>
      <c r="H60" s="501"/>
      <c r="I60" s="105"/>
      <c r="J60" s="222">
        <v>0</v>
      </c>
      <c r="K60" s="119">
        <v>0</v>
      </c>
      <c r="L60" s="119"/>
      <c r="M60" s="119"/>
    </row>
    <row r="61" spans="1:14">
      <c r="F61" s="440"/>
    </row>
    <row r="62" spans="1:14">
      <c r="F62" s="120"/>
    </row>
    <row r="63" spans="1:14">
      <c r="F63" s="440"/>
    </row>
    <row r="64" spans="1:14" ht="52.5" customHeight="1">
      <c r="F64" s="440"/>
    </row>
    <row r="67" spans="6:10">
      <c r="J67" s="398"/>
    </row>
    <row r="70" spans="6:10">
      <c r="F70" s="440"/>
    </row>
  </sheetData>
  <mergeCells count="23">
    <mergeCell ref="A59:D59"/>
    <mergeCell ref="E59:F59"/>
    <mergeCell ref="A1:H1"/>
    <mergeCell ref="A2:H2"/>
    <mergeCell ref="A29:D29"/>
    <mergeCell ref="F4:H4"/>
    <mergeCell ref="A5:D5"/>
    <mergeCell ref="A28:H28"/>
    <mergeCell ref="E5:F5"/>
    <mergeCell ref="A3:H3"/>
    <mergeCell ref="A58:D58"/>
    <mergeCell ref="E53:F53"/>
    <mergeCell ref="E56:F56"/>
    <mergeCell ref="E54:F54"/>
    <mergeCell ref="E55:F55"/>
    <mergeCell ref="G59:H59"/>
    <mergeCell ref="G57:H57"/>
    <mergeCell ref="E58:F58"/>
    <mergeCell ref="G58:H58"/>
    <mergeCell ref="E6:F6"/>
    <mergeCell ref="E7:F7"/>
    <mergeCell ref="E31:F31"/>
    <mergeCell ref="E52:F52"/>
  </mergeCells>
  <phoneticPr fontId="0" type="noConversion"/>
  <pageMargins left="0.1" right="0.01" top="0.02" bottom="0.02" header="0.27" footer="0"/>
  <pageSetup paperSize="9" scale="90" orientation="portrait" r:id="rId1"/>
  <headerFooter alignWithMargins="0"/>
  <rowBreaks count="1" manualBreakCount="1">
    <brk id="27" max="1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K86"/>
  <sheetViews>
    <sheetView topLeftCell="A125" zoomScale="90" zoomScaleNormal="90" workbookViewId="0">
      <selection activeCell="F110" sqref="F110"/>
    </sheetView>
  </sheetViews>
  <sheetFormatPr defaultRowHeight="21"/>
  <cols>
    <col min="1" max="1" width="1.5703125" style="20" customWidth="1"/>
    <col min="2" max="2" width="3.7109375" style="20" customWidth="1"/>
    <col min="3" max="3" width="52.7109375" style="20" customWidth="1"/>
    <col min="4" max="4" width="9.42578125" style="20" customWidth="1"/>
    <col min="5" max="5" width="13.85546875" style="21" customWidth="1"/>
    <col min="6" max="6" width="14.140625" style="21" customWidth="1"/>
    <col min="7" max="7" width="13.85546875" style="21" customWidth="1"/>
    <col min="8" max="8" width="18" style="20" customWidth="1"/>
    <col min="9" max="9" width="15.5703125" style="20" bestFit="1" customWidth="1"/>
    <col min="10" max="10" width="14.140625" style="20" customWidth="1"/>
    <col min="11" max="11" width="16.140625" style="20" customWidth="1"/>
    <col min="12" max="16384" width="9.140625" style="20"/>
  </cols>
  <sheetData>
    <row r="1" spans="1:11" ht="18.75" customHeight="1">
      <c r="A1" s="382" t="s">
        <v>309</v>
      </c>
      <c r="B1" s="382"/>
      <c r="C1" s="382"/>
      <c r="D1" s="382"/>
      <c r="E1" s="382"/>
      <c r="F1" s="366" t="s">
        <v>310</v>
      </c>
    </row>
    <row r="2" spans="1:11" ht="18.75" customHeight="1">
      <c r="A2" s="539" t="s">
        <v>77</v>
      </c>
      <c r="B2" s="539"/>
      <c r="C2" s="539"/>
      <c r="D2" s="539"/>
      <c r="E2" s="539"/>
      <c r="F2" s="382"/>
      <c r="G2" s="382"/>
      <c r="H2" s="48" t="s">
        <v>130</v>
      </c>
      <c r="I2" s="48" t="s">
        <v>131</v>
      </c>
    </row>
    <row r="3" spans="1:11" ht="18.75" customHeight="1">
      <c r="A3" s="540" t="s">
        <v>416</v>
      </c>
      <c r="B3" s="540"/>
      <c r="C3" s="540"/>
      <c r="D3" s="540"/>
      <c r="E3" s="540"/>
      <c r="F3" s="402"/>
      <c r="G3" s="402"/>
    </row>
    <row r="4" spans="1:11" s="49" customFormat="1" ht="18.75" customHeight="1">
      <c r="A4" s="44"/>
      <c r="B4" s="45" t="s">
        <v>7</v>
      </c>
      <c r="C4" s="46"/>
      <c r="D4" s="47" t="s">
        <v>5</v>
      </c>
      <c r="E4" s="48" t="s">
        <v>12</v>
      </c>
      <c r="F4" s="48" t="s">
        <v>131</v>
      </c>
      <c r="G4" s="48" t="s">
        <v>130</v>
      </c>
      <c r="H4" s="90" t="s">
        <v>151</v>
      </c>
      <c r="K4" s="42"/>
    </row>
    <row r="5" spans="1:11" ht="18.75" customHeight="1">
      <c r="A5" s="22"/>
      <c r="B5" s="23" t="s">
        <v>78</v>
      </c>
      <c r="D5" s="24"/>
      <c r="E5" s="25"/>
      <c r="F5" s="25"/>
      <c r="G5" s="25"/>
      <c r="H5" s="91"/>
      <c r="K5" s="42"/>
    </row>
    <row r="6" spans="1:11" ht="18.75" customHeight="1">
      <c r="A6" s="26"/>
      <c r="B6" s="23" t="s">
        <v>79</v>
      </c>
      <c r="D6" s="27">
        <v>411000</v>
      </c>
      <c r="E6" s="28" t="s">
        <v>7</v>
      </c>
      <c r="F6" s="28"/>
      <c r="G6" s="28" t="s">
        <v>7</v>
      </c>
      <c r="H6" s="91"/>
    </row>
    <row r="7" spans="1:11" ht="18.75" customHeight="1">
      <c r="A7" s="26"/>
      <c r="B7" s="29" t="s">
        <v>101</v>
      </c>
      <c r="C7" s="20" t="s">
        <v>62</v>
      </c>
      <c r="D7" s="27">
        <v>411001</v>
      </c>
      <c r="E7" s="378">
        <v>1000000</v>
      </c>
      <c r="F7" s="28">
        <f>H7+G7</f>
        <v>1049133.55</v>
      </c>
      <c r="G7" s="28">
        <v>71908</v>
      </c>
      <c r="H7" s="92">
        <v>977225.55</v>
      </c>
    </row>
    <row r="8" spans="1:11" ht="18.75" customHeight="1">
      <c r="A8" s="26"/>
      <c r="B8" s="29" t="s">
        <v>102</v>
      </c>
      <c r="C8" s="20" t="s">
        <v>63</v>
      </c>
      <c r="D8" s="27">
        <v>411002</v>
      </c>
      <c r="E8" s="28">
        <v>150000</v>
      </c>
      <c r="F8" s="28">
        <f>H8+G8</f>
        <v>129360.61</v>
      </c>
      <c r="G8" s="406">
        <v>4739.25</v>
      </c>
      <c r="H8" s="92">
        <v>124621.36</v>
      </c>
    </row>
    <row r="9" spans="1:11" ht="18.75" customHeight="1">
      <c r="A9" s="26"/>
      <c r="B9" s="29" t="s">
        <v>103</v>
      </c>
      <c r="C9" s="20" t="s">
        <v>64</v>
      </c>
      <c r="D9" s="27">
        <v>411003</v>
      </c>
      <c r="E9" s="28">
        <v>300000</v>
      </c>
      <c r="F9" s="28">
        <f>H9+G9</f>
        <v>262143.35999999999</v>
      </c>
      <c r="G9" s="28">
        <v>408</v>
      </c>
      <c r="H9" s="92">
        <v>261735.36</v>
      </c>
    </row>
    <row r="10" spans="1:11" ht="18.75" customHeight="1">
      <c r="A10" s="26"/>
      <c r="B10" s="29" t="s">
        <v>7</v>
      </c>
      <c r="C10" s="30" t="s">
        <v>73</v>
      </c>
      <c r="D10" s="31"/>
      <c r="E10" s="32">
        <f>SUM(E6:E9)</f>
        <v>1450000</v>
      </c>
      <c r="F10" s="32">
        <f>SUM(F6:F9)</f>
        <v>1440637.52</v>
      </c>
      <c r="G10" s="32">
        <f>SUM(G7:G9)</f>
        <v>77055.25</v>
      </c>
      <c r="H10" s="93">
        <f>H7+H8+H9</f>
        <v>1363582.27</v>
      </c>
      <c r="J10" s="111">
        <f>F10+F23+F31</f>
        <v>1606526.52</v>
      </c>
    </row>
    <row r="11" spans="1:11" ht="18.75" customHeight="1">
      <c r="A11" s="26"/>
      <c r="B11" s="33" t="s">
        <v>80</v>
      </c>
      <c r="D11" s="34">
        <v>412000</v>
      </c>
      <c r="E11" s="28" t="s">
        <v>7</v>
      </c>
      <c r="F11" s="28"/>
      <c r="G11" s="28" t="s">
        <v>7</v>
      </c>
      <c r="H11" s="92"/>
    </row>
    <row r="12" spans="1:11" ht="18.75" customHeight="1">
      <c r="A12" s="26"/>
      <c r="B12" s="29" t="s">
        <v>101</v>
      </c>
      <c r="C12" s="20" t="s">
        <v>81</v>
      </c>
      <c r="D12" s="34">
        <v>412103</v>
      </c>
      <c r="E12" s="28">
        <v>0</v>
      </c>
      <c r="F12" s="28">
        <v>0</v>
      </c>
      <c r="G12" s="28">
        <f>H12+F12</f>
        <v>0</v>
      </c>
      <c r="H12" s="92">
        <f>'[1]หมายเหตุ1 '!$G$13</f>
        <v>0</v>
      </c>
    </row>
    <row r="13" spans="1:11" ht="18.75" customHeight="1">
      <c r="A13" s="26"/>
      <c r="B13" s="29" t="s">
        <v>102</v>
      </c>
      <c r="C13" s="20" t="s">
        <v>82</v>
      </c>
      <c r="D13" s="34">
        <v>412204</v>
      </c>
      <c r="E13" s="28">
        <v>0</v>
      </c>
      <c r="F13" s="28">
        <v>0</v>
      </c>
      <c r="G13" s="28">
        <f>F13</f>
        <v>0</v>
      </c>
      <c r="H13" s="92">
        <v>0</v>
      </c>
    </row>
    <row r="14" spans="1:11" ht="18.75" customHeight="1">
      <c r="A14" s="26"/>
      <c r="B14" s="35" t="s">
        <v>103</v>
      </c>
      <c r="C14" s="20" t="s">
        <v>287</v>
      </c>
      <c r="D14" s="34">
        <v>412406</v>
      </c>
      <c r="E14" s="28">
        <v>75000</v>
      </c>
      <c r="F14" s="28">
        <f>H14+G14</f>
        <v>45859</v>
      </c>
      <c r="G14" s="28">
        <v>972</v>
      </c>
      <c r="H14" s="92">
        <v>44887</v>
      </c>
    </row>
    <row r="15" spans="1:11" ht="18.75" customHeight="1">
      <c r="A15" s="26"/>
      <c r="B15" s="35" t="s">
        <v>104</v>
      </c>
      <c r="C15" s="20" t="s">
        <v>83</v>
      </c>
      <c r="D15" s="34">
        <v>412202</v>
      </c>
      <c r="E15" s="28">
        <v>0</v>
      </c>
      <c r="F15" s="28">
        <v>0</v>
      </c>
      <c r="G15" s="28">
        <v>0</v>
      </c>
      <c r="H15" s="92">
        <v>0</v>
      </c>
    </row>
    <row r="16" spans="1:11" ht="18.75" customHeight="1">
      <c r="A16" s="26"/>
      <c r="B16" s="35" t="s">
        <v>105</v>
      </c>
      <c r="C16" s="20" t="s">
        <v>219</v>
      </c>
      <c r="D16" s="34">
        <v>412210</v>
      </c>
      <c r="E16" s="28">
        <v>154000</v>
      </c>
      <c r="F16" s="28">
        <f>H16+G16</f>
        <v>0</v>
      </c>
      <c r="G16" s="28">
        <v>0</v>
      </c>
      <c r="H16" s="92">
        <v>0</v>
      </c>
      <c r="I16" s="111">
        <f>G10+G23+G27+G31+G46</f>
        <v>5191383.41</v>
      </c>
    </row>
    <row r="17" spans="1:9" ht="18.75" customHeight="1">
      <c r="A17" s="26"/>
      <c r="B17" s="35" t="s">
        <v>106</v>
      </c>
      <c r="C17" s="20" t="s">
        <v>126</v>
      </c>
      <c r="D17" s="34">
        <v>412304</v>
      </c>
      <c r="E17" s="28">
        <v>10000</v>
      </c>
      <c r="F17" s="28">
        <f>H17+G17</f>
        <v>14700</v>
      </c>
      <c r="G17" s="28">
        <v>3600</v>
      </c>
      <c r="H17" s="92">
        <v>11100</v>
      </c>
    </row>
    <row r="18" spans="1:9" ht="18.75" customHeight="1">
      <c r="A18" s="26"/>
      <c r="B18" s="35"/>
      <c r="C18" s="20" t="s">
        <v>127</v>
      </c>
      <c r="D18" s="34"/>
      <c r="E18" s="28"/>
      <c r="F18" s="28"/>
      <c r="G18" s="28">
        <v>0</v>
      </c>
      <c r="H18" s="92">
        <f>'[1]หมายเหตุ1 '!$G$18</f>
        <v>0</v>
      </c>
    </row>
    <row r="19" spans="1:9" ht="18.75" customHeight="1">
      <c r="A19" s="26"/>
      <c r="B19" s="35" t="s">
        <v>107</v>
      </c>
      <c r="C19" s="20" t="s">
        <v>84</v>
      </c>
      <c r="D19" s="34">
        <v>412308</v>
      </c>
      <c r="E19" s="28">
        <v>0</v>
      </c>
      <c r="F19" s="28">
        <v>0</v>
      </c>
      <c r="G19" s="28">
        <v>0</v>
      </c>
      <c r="H19" s="92">
        <f>'[1]หมายเหตุ1 '!$G$19</f>
        <v>0</v>
      </c>
    </row>
    <row r="20" spans="1:9" ht="18.75" customHeight="1">
      <c r="A20" s="26"/>
      <c r="B20" s="35" t="s">
        <v>108</v>
      </c>
      <c r="C20" s="20" t="s">
        <v>128</v>
      </c>
      <c r="D20" s="34">
        <v>412399</v>
      </c>
      <c r="E20" s="28">
        <v>70000</v>
      </c>
      <c r="F20" s="28">
        <f>H20+G20</f>
        <v>81400</v>
      </c>
      <c r="G20" s="28">
        <v>14000</v>
      </c>
      <c r="H20" s="92">
        <v>67400</v>
      </c>
    </row>
    <row r="21" spans="1:9" ht="18.75" customHeight="1">
      <c r="A21" s="26"/>
      <c r="B21" s="35" t="s">
        <v>109</v>
      </c>
      <c r="C21" s="20" t="s">
        <v>235</v>
      </c>
      <c r="D21" s="34">
        <v>412128</v>
      </c>
      <c r="E21" s="28">
        <v>1000</v>
      </c>
      <c r="F21" s="28">
        <f>H21+G21</f>
        <v>1000</v>
      </c>
      <c r="G21" s="28">
        <v>230</v>
      </c>
      <c r="H21" s="92">
        <v>770</v>
      </c>
    </row>
    <row r="22" spans="1:9" ht="18.75" customHeight="1">
      <c r="A22" s="26"/>
      <c r="B22" s="35" t="s">
        <v>177</v>
      </c>
      <c r="C22" s="20" t="s">
        <v>283</v>
      </c>
      <c r="D22" s="34">
        <v>412399</v>
      </c>
      <c r="E22" s="28">
        <v>0</v>
      </c>
      <c r="F22" s="28">
        <f>H22+G22</f>
        <v>0</v>
      </c>
      <c r="G22" s="28">
        <v>0</v>
      </c>
      <c r="H22" s="92">
        <v>0</v>
      </c>
    </row>
    <row r="23" spans="1:9" ht="18.75" customHeight="1">
      <c r="A23" s="26"/>
      <c r="B23" s="36"/>
      <c r="C23" s="30" t="s">
        <v>73</v>
      </c>
      <c r="D23" s="34"/>
      <c r="E23" s="32">
        <f>SUM(E12:E22)</f>
        <v>310000</v>
      </c>
      <c r="F23" s="32">
        <f>SUM(F12:F22)</f>
        <v>142959</v>
      </c>
      <c r="G23" s="32">
        <f>SUM(G12:G22)</f>
        <v>18802</v>
      </c>
      <c r="H23" s="93">
        <f>SUM(H12:H22)</f>
        <v>124157</v>
      </c>
    </row>
    <row r="24" spans="1:9" ht="18.75" customHeight="1">
      <c r="A24" s="26"/>
      <c r="B24" s="37" t="s">
        <v>85</v>
      </c>
      <c r="D24" s="34">
        <v>413000</v>
      </c>
      <c r="E24" s="28" t="s">
        <v>7</v>
      </c>
      <c r="F24" s="28"/>
      <c r="G24" s="28" t="s">
        <v>7</v>
      </c>
      <c r="I24" s="21">
        <v>0</v>
      </c>
    </row>
    <row r="25" spans="1:9" ht="18.75" customHeight="1">
      <c r="A25" s="26"/>
      <c r="B25" s="35" t="s">
        <v>101</v>
      </c>
      <c r="C25" s="20" t="s">
        <v>86</v>
      </c>
      <c r="D25" s="34">
        <v>413003</v>
      </c>
      <c r="E25" s="273">
        <v>300000</v>
      </c>
      <c r="F25" s="28">
        <f>H25+G25</f>
        <v>263097.21000000002</v>
      </c>
      <c r="G25" s="274">
        <v>40112.870000000003</v>
      </c>
      <c r="H25" s="476">
        <v>222984.34</v>
      </c>
      <c r="I25" s="20">
        <v>0</v>
      </c>
    </row>
    <row r="26" spans="1:9" ht="18.75" customHeight="1">
      <c r="A26" s="26"/>
      <c r="B26" s="35" t="s">
        <v>102</v>
      </c>
      <c r="C26" s="20" t="s">
        <v>399</v>
      </c>
      <c r="D26" s="34"/>
      <c r="E26" s="273"/>
      <c r="F26" s="275">
        <f>H26+G26</f>
        <v>1460</v>
      </c>
      <c r="G26" s="274">
        <v>0</v>
      </c>
      <c r="H26" s="269">
        <v>1460</v>
      </c>
    </row>
    <row r="27" spans="1:9" ht="18.75" customHeight="1">
      <c r="A27" s="26"/>
      <c r="B27" s="36"/>
      <c r="C27" s="30" t="s">
        <v>73</v>
      </c>
      <c r="D27" s="34"/>
      <c r="E27" s="32">
        <f>SUM(E25:E25)</f>
        <v>300000</v>
      </c>
      <c r="F27" s="32">
        <f>SUM(F25:F26)</f>
        <v>264557.21000000002</v>
      </c>
      <c r="G27" s="32">
        <f>SUM(G25:G26)</f>
        <v>40112.870000000003</v>
      </c>
      <c r="H27" s="93">
        <f>H25+H26</f>
        <v>224444.34</v>
      </c>
      <c r="I27" s="111">
        <v>0</v>
      </c>
    </row>
    <row r="28" spans="1:9" ht="18.75" customHeight="1">
      <c r="A28" s="26"/>
      <c r="B28" s="37" t="s">
        <v>87</v>
      </c>
      <c r="D28" s="34">
        <v>415000</v>
      </c>
      <c r="E28" s="28" t="s">
        <v>7</v>
      </c>
      <c r="G28" s="28">
        <f>H28</f>
        <v>0</v>
      </c>
      <c r="H28" s="92">
        <v>0</v>
      </c>
    </row>
    <row r="29" spans="1:9" ht="18.75" customHeight="1">
      <c r="A29" s="26"/>
      <c r="B29" s="35" t="s">
        <v>101</v>
      </c>
      <c r="C29" s="20" t="s">
        <v>88</v>
      </c>
      <c r="D29" s="34">
        <v>415004</v>
      </c>
      <c r="E29" s="28">
        <v>30000</v>
      </c>
      <c r="F29" s="28">
        <f>H29+G29</f>
        <v>0</v>
      </c>
      <c r="G29" s="28">
        <v>0</v>
      </c>
      <c r="H29" s="92">
        <v>0</v>
      </c>
    </row>
    <row r="30" spans="1:9" ht="18.75" customHeight="1">
      <c r="A30" s="26"/>
      <c r="B30" s="35" t="s">
        <v>102</v>
      </c>
      <c r="C30" s="20" t="s">
        <v>89</v>
      </c>
      <c r="D30" s="34">
        <v>415999</v>
      </c>
      <c r="E30" s="28">
        <v>20000</v>
      </c>
      <c r="F30" s="28">
        <f>H30+G30</f>
        <v>22930</v>
      </c>
      <c r="G30" s="28">
        <v>1000</v>
      </c>
      <c r="H30" s="92">
        <v>21930</v>
      </c>
    </row>
    <row r="31" spans="1:9" ht="18.75" customHeight="1">
      <c r="A31" s="26"/>
      <c r="B31" s="36"/>
      <c r="C31" s="30" t="s">
        <v>73</v>
      </c>
      <c r="D31" s="34"/>
      <c r="E31" s="32">
        <f>SUM(E29:E30)</f>
        <v>50000</v>
      </c>
      <c r="F31" s="32">
        <f>SUM(F29:F30)</f>
        <v>22930</v>
      </c>
      <c r="G31" s="32">
        <f>SUM(G29:G30)</f>
        <v>1000</v>
      </c>
      <c r="H31" s="93">
        <f>H29+H30</f>
        <v>21930</v>
      </c>
    </row>
    <row r="32" spans="1:9" ht="18.75" customHeight="1">
      <c r="A32" s="26"/>
      <c r="B32" s="23" t="s">
        <v>90</v>
      </c>
      <c r="D32" s="31"/>
      <c r="E32" s="28" t="s">
        <v>7</v>
      </c>
      <c r="F32" s="28"/>
      <c r="G32" s="28" t="s">
        <v>7</v>
      </c>
      <c r="H32" s="91"/>
    </row>
    <row r="33" spans="1:9" ht="18.75" customHeight="1">
      <c r="A33" s="26"/>
      <c r="B33" s="23" t="s">
        <v>91</v>
      </c>
      <c r="D33" s="38">
        <v>421000</v>
      </c>
      <c r="E33" s="28" t="s">
        <v>7</v>
      </c>
      <c r="F33" s="28"/>
      <c r="G33" s="28" t="s">
        <v>7</v>
      </c>
      <c r="H33" s="91"/>
    </row>
    <row r="34" spans="1:9" ht="18.75" customHeight="1">
      <c r="A34" s="26"/>
      <c r="B34" s="29" t="s">
        <v>101</v>
      </c>
      <c r="C34" s="20" t="s">
        <v>92</v>
      </c>
      <c r="D34" s="38">
        <v>421001</v>
      </c>
      <c r="E34" s="28">
        <v>100000</v>
      </c>
      <c r="F34" s="28">
        <f>G34+H34</f>
        <v>597911.04000000004</v>
      </c>
      <c r="G34" s="28">
        <v>113837.35</v>
      </c>
      <c r="H34" s="92">
        <v>484073.69</v>
      </c>
      <c r="I34" s="21"/>
    </row>
    <row r="35" spans="1:9" ht="18.75" customHeight="1">
      <c r="A35" s="26"/>
      <c r="B35" s="29" t="s">
        <v>102</v>
      </c>
      <c r="C35" s="20" t="s">
        <v>220</v>
      </c>
      <c r="D35" s="38">
        <v>421002</v>
      </c>
      <c r="E35" s="28">
        <v>9000000</v>
      </c>
      <c r="F35" s="28">
        <f>H35+G35</f>
        <v>8961933.9600000009</v>
      </c>
      <c r="G35" s="28">
        <v>1784270.23</v>
      </c>
      <c r="H35" s="92">
        <v>7177663.7300000004</v>
      </c>
      <c r="I35" s="21"/>
    </row>
    <row r="36" spans="1:9" ht="18.75" customHeight="1">
      <c r="A36" s="26"/>
      <c r="B36" s="220"/>
      <c r="C36" s="20" t="s">
        <v>145</v>
      </c>
      <c r="D36" s="38">
        <v>421004</v>
      </c>
      <c r="E36" s="28">
        <v>5000000</v>
      </c>
      <c r="F36" s="28">
        <f>G36+H36</f>
        <v>4819462.25</v>
      </c>
      <c r="G36" s="28">
        <v>872589.73</v>
      </c>
      <c r="H36" s="92">
        <v>3946872.52</v>
      </c>
      <c r="I36" s="21"/>
    </row>
    <row r="37" spans="1:9" ht="18.75" customHeight="1">
      <c r="A37" s="26"/>
      <c r="B37" s="29" t="s">
        <v>103</v>
      </c>
      <c r="C37" s="20" t="s">
        <v>56</v>
      </c>
      <c r="D37" s="38">
        <v>421005</v>
      </c>
      <c r="E37" s="28">
        <v>230000</v>
      </c>
      <c r="F37" s="28">
        <f>G37+H37</f>
        <v>128788.1</v>
      </c>
      <c r="G37" s="28">
        <v>0</v>
      </c>
      <c r="H37" s="92">
        <v>128788.1</v>
      </c>
      <c r="I37" s="21"/>
    </row>
    <row r="38" spans="1:9" ht="18.75" customHeight="1">
      <c r="A38" s="26"/>
      <c r="B38" s="29" t="s">
        <v>104</v>
      </c>
      <c r="C38" s="20" t="s">
        <v>57</v>
      </c>
      <c r="D38" s="38">
        <v>421006</v>
      </c>
      <c r="E38" s="28">
        <v>2100000</v>
      </c>
      <c r="F38" s="28">
        <f>G38+H38</f>
        <v>0</v>
      </c>
      <c r="G38" s="28">
        <v>0</v>
      </c>
      <c r="H38" s="92">
        <v>0</v>
      </c>
    </row>
    <row r="39" spans="1:9" ht="18.75" customHeight="1">
      <c r="A39" s="26"/>
      <c r="B39" s="29" t="s">
        <v>105</v>
      </c>
      <c r="C39" s="20" t="s">
        <v>58</v>
      </c>
      <c r="D39" s="38">
        <v>421007</v>
      </c>
      <c r="E39" s="28">
        <v>5000000</v>
      </c>
      <c r="F39" s="28">
        <f>G39+H39</f>
        <v>6756979.5</v>
      </c>
      <c r="G39" s="28">
        <v>1418986.54</v>
      </c>
      <c r="H39" s="92">
        <v>5337992.96</v>
      </c>
    </row>
    <row r="40" spans="1:9" ht="18.75" customHeight="1">
      <c r="A40" s="26"/>
      <c r="B40" s="35" t="s">
        <v>106</v>
      </c>
      <c r="C40" s="20" t="s">
        <v>93</v>
      </c>
      <c r="D40" s="38">
        <v>421014</v>
      </c>
      <c r="E40" s="28">
        <v>0</v>
      </c>
      <c r="F40" s="28">
        <v>0</v>
      </c>
      <c r="G40" s="28">
        <v>0</v>
      </c>
      <c r="H40" s="92">
        <v>0</v>
      </c>
    </row>
    <row r="41" spans="1:9" ht="18.75" customHeight="1">
      <c r="A41" s="26"/>
      <c r="B41" s="35" t="s">
        <v>107</v>
      </c>
      <c r="C41" s="20" t="s">
        <v>59</v>
      </c>
      <c r="D41" s="38">
        <v>421012</v>
      </c>
      <c r="E41" s="28">
        <v>1700000</v>
      </c>
      <c r="F41" s="28">
        <f>G41+H41</f>
        <v>356877.85</v>
      </c>
      <c r="G41" s="28">
        <v>24675.24</v>
      </c>
      <c r="H41" s="92">
        <v>332202.61</v>
      </c>
      <c r="I41" s="110"/>
    </row>
    <row r="42" spans="1:9" ht="18.75" customHeight="1">
      <c r="A42" s="26"/>
      <c r="B42" s="35" t="s">
        <v>108</v>
      </c>
      <c r="C42" s="20" t="s">
        <v>61</v>
      </c>
      <c r="D42" s="38">
        <v>421013</v>
      </c>
      <c r="E42" s="28">
        <v>60000</v>
      </c>
      <c r="F42" s="28">
        <f>G42+H42</f>
        <v>47971.29</v>
      </c>
      <c r="G42" s="28">
        <v>0</v>
      </c>
      <c r="H42" s="92">
        <v>47971.29</v>
      </c>
    </row>
    <row r="43" spans="1:9" ht="18.75" customHeight="1">
      <c r="A43" s="26"/>
      <c r="B43" s="35" t="s">
        <v>109</v>
      </c>
      <c r="C43" s="20" t="s">
        <v>221</v>
      </c>
      <c r="D43" s="38">
        <v>421015</v>
      </c>
      <c r="E43" s="28">
        <v>5700000</v>
      </c>
      <c r="F43" s="28">
        <f>H43+G43</f>
        <v>4645194</v>
      </c>
      <c r="G43" s="28">
        <v>839996</v>
      </c>
      <c r="H43" s="92">
        <v>3805198</v>
      </c>
    </row>
    <row r="44" spans="1:9" ht="18.75" customHeight="1">
      <c r="A44" s="26"/>
      <c r="B44" s="35" t="s">
        <v>177</v>
      </c>
      <c r="C44" s="20" t="s">
        <v>178</v>
      </c>
      <c r="D44" s="38">
        <v>421017</v>
      </c>
      <c r="E44" s="28">
        <v>0</v>
      </c>
      <c r="F44" s="28">
        <f>G44+H44</f>
        <v>0</v>
      </c>
      <c r="G44" s="28">
        <v>0</v>
      </c>
      <c r="H44" s="92">
        <v>0</v>
      </c>
    </row>
    <row r="45" spans="1:9" ht="18.75" customHeight="1">
      <c r="A45" s="26"/>
      <c r="B45" s="35"/>
      <c r="C45" s="20" t="s">
        <v>377</v>
      </c>
      <c r="D45" s="38"/>
      <c r="E45" s="28"/>
      <c r="F45" s="28">
        <f>H45+G45</f>
        <v>3957.6</v>
      </c>
      <c r="G45" s="28">
        <v>58.2</v>
      </c>
      <c r="H45" s="92">
        <v>3899.4</v>
      </c>
    </row>
    <row r="46" spans="1:9" ht="18.75" customHeight="1">
      <c r="A46" s="297"/>
      <c r="B46" s="298"/>
      <c r="C46" s="299" t="s">
        <v>73</v>
      </c>
      <c r="D46" s="300"/>
      <c r="E46" s="32">
        <f>SUM(E34:E45)</f>
        <v>28890000</v>
      </c>
      <c r="F46" s="32">
        <f>SUM(F34:F45)</f>
        <v>26319075.590000004</v>
      </c>
      <c r="G46" s="32">
        <f>SUM(G34:G45)</f>
        <v>5054413.29</v>
      </c>
      <c r="H46" s="93">
        <f>SUM(H34:H45)</f>
        <v>21264662.299999997</v>
      </c>
    </row>
    <row r="47" spans="1:9" s="40" customFormat="1">
      <c r="B47" s="29"/>
      <c r="C47" s="41"/>
      <c r="E47" s="42"/>
      <c r="F47" s="42"/>
      <c r="G47" s="43">
        <v>2</v>
      </c>
      <c r="H47" s="94"/>
    </row>
    <row r="48" spans="1:9" s="49" customFormat="1">
      <c r="A48" s="44"/>
      <c r="B48" s="45" t="s">
        <v>7</v>
      </c>
      <c r="C48" s="46"/>
      <c r="D48" s="47" t="s">
        <v>5</v>
      </c>
      <c r="E48" s="48" t="s">
        <v>12</v>
      </c>
      <c r="F48" s="48" t="s">
        <v>131</v>
      </c>
      <c r="G48" s="48" t="s">
        <v>130</v>
      </c>
      <c r="H48" s="95"/>
    </row>
    <row r="49" spans="1:10">
      <c r="A49" s="349"/>
      <c r="B49" s="39" t="s">
        <v>94</v>
      </c>
      <c r="D49" s="31"/>
      <c r="E49" s="28" t="s">
        <v>7</v>
      </c>
      <c r="F49" s="28"/>
      <c r="G49" s="28" t="s">
        <v>7</v>
      </c>
      <c r="H49" s="91"/>
    </row>
    <row r="50" spans="1:10">
      <c r="A50" s="26"/>
      <c r="B50" s="39" t="s">
        <v>95</v>
      </c>
      <c r="D50" s="38">
        <v>431000</v>
      </c>
      <c r="E50" s="28">
        <v>0</v>
      </c>
      <c r="F50" s="28"/>
      <c r="G50" s="28" t="s">
        <v>7</v>
      </c>
      <c r="H50" s="91"/>
      <c r="J50" s="21"/>
    </row>
    <row r="51" spans="1:10">
      <c r="A51" s="26"/>
      <c r="B51" s="35"/>
      <c r="C51" s="20" t="s">
        <v>409</v>
      </c>
      <c r="D51" s="38">
        <v>431001</v>
      </c>
      <c r="E51" s="28">
        <v>22000000</v>
      </c>
      <c r="F51" s="28">
        <f>G51+H51</f>
        <v>21513703</v>
      </c>
      <c r="G51" s="28">
        <f>34840+203904+80400+423360+7500+86748+224580+2538600+633600</f>
        <v>4233532</v>
      </c>
      <c r="H51" s="92">
        <f>6969631+7615800+1900800+685140+108800</f>
        <v>17280171</v>
      </c>
      <c r="J51" s="21"/>
    </row>
    <row r="52" spans="1:10">
      <c r="A52" s="26"/>
      <c r="B52" s="35"/>
      <c r="D52" s="38"/>
      <c r="E52" s="28"/>
      <c r="F52" s="28"/>
      <c r="G52" s="28"/>
      <c r="H52" s="92"/>
      <c r="J52" s="21"/>
    </row>
    <row r="53" spans="1:10">
      <c r="A53" s="301"/>
      <c r="B53" s="301"/>
      <c r="C53" s="302" t="s">
        <v>73</v>
      </c>
      <c r="D53" s="271"/>
      <c r="E53" s="32">
        <f>SUM(E50:E52)</f>
        <v>22000000</v>
      </c>
      <c r="F53" s="32">
        <f>SUM(F51:F52)</f>
        <v>21513703</v>
      </c>
      <c r="G53" s="32">
        <f>SUM(G51:G52)</f>
        <v>4233532</v>
      </c>
      <c r="H53" s="32">
        <f>SUM(H51:H52)</f>
        <v>17280171</v>
      </c>
      <c r="I53" s="324">
        <f>G53-H53</f>
        <v>-13046639</v>
      </c>
      <c r="J53" s="21"/>
    </row>
    <row r="54" spans="1:10" ht="21.75" thickBot="1">
      <c r="C54" s="30" t="s">
        <v>96</v>
      </c>
      <c r="E54" s="104">
        <f>E10+E23+E27+E31+E46+E53</f>
        <v>53000000</v>
      </c>
      <c r="F54" s="497">
        <f>F10+F23+F27+F31+F46+F53</f>
        <v>49703862.320000008</v>
      </c>
      <c r="G54" s="497">
        <f>(G10+G23+G27+G31+G46+G53)</f>
        <v>9424915.4100000001</v>
      </c>
      <c r="H54" s="96">
        <f>(H10+H23+H27+H31+H46+H53)</f>
        <v>40278946.909999996</v>
      </c>
      <c r="I54" s="21">
        <f>G54+H54</f>
        <v>49703862.319999993</v>
      </c>
      <c r="J54" s="21"/>
    </row>
    <row r="55" spans="1:10" ht="21.75" thickTop="1">
      <c r="C55" s="30"/>
      <c r="E55" s="42"/>
      <c r="F55" s="42"/>
      <c r="G55" s="42"/>
      <c r="H55" s="91"/>
      <c r="I55" s="92">
        <v>0</v>
      </c>
    </row>
    <row r="56" spans="1:10">
      <c r="C56" s="30"/>
      <c r="E56" s="42"/>
      <c r="F56" s="42"/>
      <c r="G56" s="42"/>
      <c r="H56" s="92"/>
      <c r="I56" s="92"/>
    </row>
    <row r="57" spans="1:10">
      <c r="C57" s="30"/>
      <c r="E57" s="42"/>
      <c r="F57" s="42"/>
      <c r="G57" s="42"/>
      <c r="H57" s="324"/>
      <c r="I57" s="92"/>
    </row>
    <row r="58" spans="1:10">
      <c r="C58" s="30"/>
      <c r="E58" s="42"/>
      <c r="F58" s="42"/>
      <c r="G58" s="42"/>
      <c r="H58" s="324"/>
      <c r="I58" s="92"/>
    </row>
    <row r="59" spans="1:10">
      <c r="C59" s="30"/>
      <c r="E59" s="42"/>
      <c r="F59" s="42"/>
      <c r="G59" s="42"/>
      <c r="H59" s="324"/>
      <c r="I59" s="92"/>
    </row>
    <row r="60" spans="1:10">
      <c r="C60" s="30"/>
      <c r="E60" s="42"/>
      <c r="F60" s="42"/>
      <c r="G60" s="42"/>
      <c r="H60" s="324">
        <v>0</v>
      </c>
      <c r="I60" s="92"/>
    </row>
    <row r="61" spans="1:10">
      <c r="C61" s="30"/>
      <c r="E61" s="42"/>
      <c r="F61" s="42"/>
      <c r="G61" s="42"/>
      <c r="H61" s="324"/>
      <c r="I61" s="92"/>
    </row>
    <row r="62" spans="1:10">
      <c r="C62" s="30"/>
      <c r="E62" s="42"/>
      <c r="F62" s="42"/>
      <c r="G62" s="42">
        <v>0</v>
      </c>
      <c r="H62" s="324"/>
      <c r="I62" s="92"/>
    </row>
    <row r="63" spans="1:10">
      <c r="C63" s="30"/>
      <c r="E63" s="42"/>
      <c r="F63" s="42"/>
      <c r="G63" s="42"/>
      <c r="H63" s="324"/>
      <c r="I63" s="92"/>
    </row>
    <row r="64" spans="1:10">
      <c r="C64" s="30"/>
      <c r="E64" s="42"/>
      <c r="F64" s="42"/>
      <c r="G64" s="42"/>
      <c r="H64" s="324"/>
      <c r="I64" s="92"/>
    </row>
    <row r="65" spans="3:9">
      <c r="C65" s="30"/>
      <c r="E65" s="42"/>
      <c r="F65" s="42"/>
      <c r="G65" s="42"/>
      <c r="H65" s="324"/>
      <c r="I65" s="92"/>
    </row>
    <row r="66" spans="3:9">
      <c r="C66" s="30"/>
      <c r="E66" s="42"/>
      <c r="F66" s="42"/>
      <c r="G66" s="42"/>
      <c r="H66" s="324"/>
      <c r="I66" s="92"/>
    </row>
    <row r="67" spans="3:9">
      <c r="C67" s="30"/>
      <c r="E67" s="42"/>
      <c r="F67" s="42"/>
      <c r="G67" s="42"/>
      <c r="H67" s="91"/>
      <c r="I67" s="92"/>
    </row>
    <row r="68" spans="3:9">
      <c r="C68" s="30"/>
      <c r="E68" s="42"/>
      <c r="F68" s="42"/>
      <c r="G68" s="42"/>
      <c r="H68" s="91"/>
      <c r="I68" s="92"/>
    </row>
    <row r="69" spans="3:9">
      <c r="C69" s="30"/>
      <c r="E69" s="42"/>
      <c r="F69" s="42"/>
      <c r="G69" s="42"/>
      <c r="H69" s="91"/>
      <c r="I69" s="92"/>
    </row>
    <row r="70" spans="3:9">
      <c r="C70" s="225"/>
      <c r="E70" s="42"/>
      <c r="F70" s="42"/>
      <c r="G70" s="42"/>
      <c r="H70" s="91"/>
      <c r="I70" s="92"/>
    </row>
    <row r="71" spans="3:9">
      <c r="C71" s="30"/>
      <c r="E71" s="42"/>
      <c r="F71" s="42"/>
      <c r="G71" s="42"/>
      <c r="H71" s="91"/>
      <c r="I71" s="92"/>
    </row>
    <row r="72" spans="3:9" ht="36" customHeight="1">
      <c r="C72" s="225"/>
      <c r="E72" s="42"/>
      <c r="F72" s="42"/>
      <c r="G72" s="42"/>
      <c r="H72" s="91"/>
      <c r="I72" s="92"/>
    </row>
    <row r="73" spans="3:9">
      <c r="C73" s="30"/>
      <c r="E73" s="42"/>
      <c r="F73" s="42"/>
      <c r="G73" s="42"/>
      <c r="H73" s="91"/>
      <c r="I73" s="92"/>
    </row>
    <row r="74" spans="3:9">
      <c r="C74" s="30"/>
      <c r="E74" s="42"/>
      <c r="F74" s="42"/>
      <c r="G74" s="42"/>
      <c r="H74" s="91"/>
      <c r="I74" s="92"/>
    </row>
    <row r="75" spans="3:9">
      <c r="C75" s="30"/>
      <c r="E75" s="42"/>
      <c r="F75" s="42"/>
      <c r="G75" s="42"/>
      <c r="H75" s="91"/>
      <c r="I75" s="92"/>
    </row>
    <row r="76" spans="3:9">
      <c r="C76" s="442"/>
      <c r="E76" s="42"/>
      <c r="F76" s="42"/>
      <c r="G76" s="42"/>
      <c r="H76" s="91"/>
      <c r="I76" s="92"/>
    </row>
    <row r="77" spans="3:9">
      <c r="C77" s="30"/>
      <c r="E77" s="42"/>
      <c r="F77" s="42"/>
      <c r="G77" s="42"/>
      <c r="H77" s="91"/>
      <c r="I77" s="92"/>
    </row>
    <row r="78" spans="3:9">
      <c r="C78" s="30"/>
      <c r="E78" s="42"/>
      <c r="F78" s="42"/>
      <c r="G78" s="42"/>
      <c r="H78" s="91"/>
      <c r="I78" s="92"/>
    </row>
    <row r="79" spans="3:9">
      <c r="C79" s="442"/>
      <c r="E79" s="42"/>
      <c r="F79" s="42"/>
      <c r="G79" s="42"/>
      <c r="H79" s="91"/>
      <c r="I79" s="92"/>
    </row>
    <row r="80" spans="3:9">
      <c r="C80" s="30"/>
      <c r="E80" s="42"/>
      <c r="F80" s="42"/>
      <c r="G80" s="42"/>
      <c r="H80" s="91"/>
      <c r="I80" s="92"/>
    </row>
    <row r="81" spans="3:9" ht="57.75" customHeight="1">
      <c r="C81" s="30"/>
      <c r="E81" s="42"/>
      <c r="F81" s="42"/>
      <c r="G81" s="42"/>
      <c r="H81" s="91"/>
      <c r="I81" s="92"/>
    </row>
    <row r="82" spans="3:9">
      <c r="C82" s="30"/>
      <c r="E82" s="42"/>
      <c r="F82" s="42"/>
      <c r="G82" s="42"/>
      <c r="H82" s="91"/>
      <c r="I82" s="92"/>
    </row>
    <row r="83" spans="3:9">
      <c r="C83" s="30"/>
      <c r="E83" s="42"/>
      <c r="F83" s="42"/>
      <c r="G83" s="42"/>
      <c r="H83" s="91"/>
      <c r="I83" s="92"/>
    </row>
    <row r="84" spans="3:9">
      <c r="C84" s="30"/>
      <c r="E84" s="42"/>
      <c r="F84" s="42"/>
      <c r="G84" s="42"/>
      <c r="H84" s="91"/>
      <c r="I84" s="92"/>
    </row>
    <row r="85" spans="3:9">
      <c r="C85" s="30"/>
      <c r="E85" s="42"/>
      <c r="F85" s="42"/>
      <c r="G85" s="42"/>
      <c r="H85" s="91"/>
      <c r="I85" s="92"/>
    </row>
    <row r="86" spans="3:9">
      <c r="C86" s="30"/>
      <c r="E86" s="42"/>
      <c r="F86" s="42"/>
      <c r="G86" s="42"/>
      <c r="H86" s="91"/>
      <c r="I86" s="92"/>
    </row>
  </sheetData>
  <mergeCells count="2">
    <mergeCell ref="A2:E2"/>
    <mergeCell ref="A3:E3"/>
  </mergeCells>
  <phoneticPr fontId="0" type="noConversion"/>
  <pageMargins left="0.15" right="0.25" top="0.17" bottom="0.19" header="0.16" footer="0.17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2:J63"/>
  <sheetViews>
    <sheetView topLeftCell="A70" zoomScaleNormal="100" workbookViewId="0">
      <selection activeCell="D25" sqref="D25"/>
    </sheetView>
  </sheetViews>
  <sheetFormatPr defaultRowHeight="23.25"/>
  <cols>
    <col min="1" max="2" width="5" style="50" customWidth="1"/>
    <col min="3" max="3" width="5.28515625" style="50" customWidth="1"/>
    <col min="4" max="4" width="54.140625" style="50" customWidth="1"/>
    <col min="5" max="5" width="14.140625" style="50" customWidth="1"/>
    <col min="6" max="7" width="14.42578125" style="50" customWidth="1"/>
    <col min="8" max="8" width="16.7109375" style="50" customWidth="1"/>
    <col min="9" max="9" width="16.140625" style="50" customWidth="1"/>
    <col min="10" max="10" width="12.7109375" style="50" customWidth="1"/>
    <col min="11" max="11" width="7.85546875" style="50" customWidth="1"/>
    <col min="12" max="13" width="9.140625" style="50"/>
    <col min="14" max="14" width="11.42578125" style="50" customWidth="1"/>
    <col min="15" max="16384" width="9.140625" style="50"/>
  </cols>
  <sheetData>
    <row r="2" spans="1:10">
      <c r="A2" s="543" t="s">
        <v>76</v>
      </c>
      <c r="B2" s="543"/>
      <c r="C2" s="543"/>
      <c r="D2" s="543"/>
      <c r="E2" s="543"/>
      <c r="F2" s="543"/>
      <c r="G2" s="543"/>
    </row>
    <row r="3" spans="1:10">
      <c r="A3" s="543" t="s">
        <v>112</v>
      </c>
      <c r="B3" s="543"/>
      <c r="C3" s="543"/>
      <c r="D3" s="543"/>
      <c r="E3" s="543"/>
      <c r="F3" s="543"/>
      <c r="G3" s="543"/>
    </row>
    <row r="4" spans="1:10">
      <c r="A4" s="544" t="s">
        <v>417</v>
      </c>
      <c r="B4" s="544"/>
      <c r="C4" s="544"/>
      <c r="D4" s="544"/>
      <c r="E4" s="544"/>
      <c r="F4" s="544"/>
      <c r="G4" s="544"/>
    </row>
    <row r="5" spans="1:10">
      <c r="A5" s="432"/>
      <c r="B5" s="432"/>
      <c r="C5" s="432"/>
      <c r="D5" s="432"/>
      <c r="E5" s="439" t="s">
        <v>155</v>
      </c>
      <c r="F5" s="374" t="s">
        <v>350</v>
      </c>
      <c r="G5" s="339" t="s">
        <v>132</v>
      </c>
    </row>
    <row r="6" spans="1:10">
      <c r="A6" s="432"/>
      <c r="B6" s="432"/>
      <c r="C6" s="432"/>
      <c r="D6" s="432"/>
      <c r="E6" s="439"/>
      <c r="F6" s="381" t="s">
        <v>349</v>
      </c>
      <c r="G6" s="432"/>
    </row>
    <row r="7" spans="1:10">
      <c r="A7" s="367" t="s">
        <v>313</v>
      </c>
      <c r="B7" s="381"/>
      <c r="C7" s="367"/>
      <c r="G7" s="381"/>
      <c r="H7" s="391" t="s">
        <v>348</v>
      </c>
    </row>
    <row r="8" spans="1:10">
      <c r="A8" s="367" t="s">
        <v>115</v>
      </c>
      <c r="D8" s="251"/>
      <c r="E8" s="381"/>
      <c r="F8" s="381"/>
      <c r="G8" s="381"/>
    </row>
    <row r="9" spans="1:10">
      <c r="A9" s="367" t="s">
        <v>382</v>
      </c>
      <c r="D9" s="251"/>
      <c r="J9" s="50" t="s">
        <v>343</v>
      </c>
    </row>
    <row r="10" spans="1:10" s="437" customFormat="1">
      <c r="A10" s="50">
        <v>1</v>
      </c>
      <c r="B10" s="546" t="str">
        <f>'[2]หมายเหตุ 3'!$B$50:$D$50</f>
        <v>จัดซุ้มราชพิธี(ถวายดอกไม้จันทน์)</v>
      </c>
      <c r="C10" s="546"/>
      <c r="D10" s="546"/>
      <c r="E10" s="361">
        <v>0</v>
      </c>
      <c r="F10" s="353">
        <f>H10</f>
        <v>400000</v>
      </c>
      <c r="G10" s="361">
        <f>H10-F10</f>
        <v>0</v>
      </c>
      <c r="H10" s="361">
        <f>'[2]หมายเหตุ 3'!$H$50</f>
        <v>400000</v>
      </c>
      <c r="J10" s="436">
        <v>787000</v>
      </c>
    </row>
    <row r="11" spans="1:10">
      <c r="J11" s="361"/>
    </row>
    <row r="12" spans="1:10">
      <c r="A12" s="251" t="s">
        <v>147</v>
      </c>
      <c r="E12" s="217"/>
      <c r="F12" s="217"/>
      <c r="J12" s="361"/>
    </row>
    <row r="13" spans="1:10" s="437" customFormat="1">
      <c r="A13" s="50">
        <v>1</v>
      </c>
      <c r="B13" s="546" t="str">
        <f>'[2]หมายเหตุ 3'!$B$53:$D$53</f>
        <v>โครงการปรับปรุงอาคารสำนักงาน</v>
      </c>
      <c r="C13" s="546"/>
      <c r="D13" s="546"/>
      <c r="E13" s="361">
        <v>0</v>
      </c>
      <c r="F13" s="353">
        <f>H13</f>
        <v>480000</v>
      </c>
      <c r="G13" s="361">
        <f>H13-F13</f>
        <v>0</v>
      </c>
      <c r="H13" s="361">
        <f>'[2]หมายเหตุ 3'!$H$53</f>
        <v>480000</v>
      </c>
      <c r="J13" s="436">
        <v>200000</v>
      </c>
    </row>
    <row r="14" spans="1:10" s="437" customFormat="1">
      <c r="A14" s="50">
        <v>2</v>
      </c>
      <c r="B14" s="546" t="str">
        <f>'[2]หมายเหตุ 3'!$B$54:$D$54</f>
        <v>โครงการซ่อมแซมติดตั้งเสียงไร้สายบ้านชุกหว้า หมู่ที่ 6</v>
      </c>
      <c r="C14" s="546"/>
      <c r="D14" s="546"/>
      <c r="E14" s="436">
        <v>0</v>
      </c>
      <c r="F14" s="353">
        <f>H14</f>
        <v>100000</v>
      </c>
      <c r="G14" s="361">
        <f>H14-F14</f>
        <v>0</v>
      </c>
      <c r="H14" s="361">
        <f>'[2]หมายเหตุ 3'!$H$54</f>
        <v>100000</v>
      </c>
      <c r="J14" s="436">
        <v>200000</v>
      </c>
    </row>
    <row r="15" spans="1:10" s="437" customFormat="1">
      <c r="A15" s="50">
        <v>3</v>
      </c>
      <c r="B15" s="542" t="str">
        <f>'[2]หมายเหตุ 3'!$B$55</f>
        <v>โครงการซ่อมแซมติดตั้งเสียงไร้สายสายหนองพงษ์-หนองแสนหลุม หนองหิน หมู่ที่ 7</v>
      </c>
      <c r="C15" s="542"/>
      <c r="D15" s="542"/>
      <c r="E15" s="459">
        <v>0</v>
      </c>
      <c r="F15" s="353">
        <f>H15</f>
        <v>122000</v>
      </c>
      <c r="G15" s="361">
        <f>H15-F15</f>
        <v>0</v>
      </c>
      <c r="H15" s="361">
        <f>'[2]หมายเหตุ 3'!$H$55</f>
        <v>122000</v>
      </c>
      <c r="J15" s="436">
        <v>102700</v>
      </c>
    </row>
    <row r="16" spans="1:10" s="437" customFormat="1">
      <c r="A16" s="50">
        <v>4</v>
      </c>
      <c r="B16" s="50" t="str">
        <f>'[2]หมายเหตุ 3'!$B$56</f>
        <v>โครงการติดตั้งเสียงตามสายบ้านปากบึง หมู่ที่ 13</v>
      </c>
      <c r="C16" s="50"/>
      <c r="E16" s="436">
        <v>0</v>
      </c>
      <c r="F16" s="353">
        <f>H16</f>
        <v>90000</v>
      </c>
      <c r="G16" s="361">
        <f>H16-F16</f>
        <v>0</v>
      </c>
      <c r="H16" s="361">
        <f>'[2]หมายเหตุ 3'!$H$56</f>
        <v>90000</v>
      </c>
      <c r="J16" s="436">
        <v>363000</v>
      </c>
    </row>
    <row r="17" spans="1:8" ht="30.75" customHeight="1" thickBot="1">
      <c r="D17" s="435" t="s">
        <v>351</v>
      </c>
      <c r="E17" s="386">
        <f>SUM(E10:E16)</f>
        <v>0</v>
      </c>
      <c r="F17" s="386">
        <f>SUM(F10:F16)</f>
        <v>1192000</v>
      </c>
      <c r="G17" s="386">
        <f>SUM(G10:G16)</f>
        <v>0</v>
      </c>
      <c r="H17" s="386">
        <f>SUM(H10:H16)</f>
        <v>1192000</v>
      </c>
    </row>
    <row r="18" spans="1:8" ht="30.75" customHeight="1" thickTop="1">
      <c r="D18" s="435"/>
      <c r="E18" s="68"/>
      <c r="F18" s="68"/>
      <c r="G18" s="68"/>
      <c r="H18" s="68"/>
    </row>
    <row r="19" spans="1:8" ht="30.75" customHeight="1">
      <c r="D19" s="435"/>
      <c r="E19" s="68"/>
      <c r="F19" s="68"/>
      <c r="G19" s="68"/>
      <c r="H19" s="68"/>
    </row>
    <row r="20" spans="1:8">
      <c r="A20" s="543" t="s">
        <v>76</v>
      </c>
      <c r="B20" s="543"/>
      <c r="C20" s="543"/>
      <c r="D20" s="543"/>
      <c r="E20" s="543"/>
      <c r="F20" s="543"/>
      <c r="G20" s="543"/>
    </row>
    <row r="21" spans="1:8">
      <c r="A21" s="543" t="s">
        <v>112</v>
      </c>
      <c r="B21" s="543"/>
      <c r="C21" s="543"/>
      <c r="D21" s="543"/>
      <c r="E21" s="543"/>
      <c r="F21" s="543"/>
      <c r="G21" s="543"/>
    </row>
    <row r="22" spans="1:8">
      <c r="A22" s="544" t="s">
        <v>418</v>
      </c>
      <c r="B22" s="544"/>
      <c r="C22" s="544"/>
      <c r="D22" s="544"/>
      <c r="E22" s="544"/>
      <c r="F22" s="544"/>
      <c r="G22" s="544"/>
    </row>
    <row r="23" spans="1:8">
      <c r="D23" s="391"/>
    </row>
    <row r="24" spans="1:8">
      <c r="B24" s="433" t="s">
        <v>329</v>
      </c>
    </row>
    <row r="25" spans="1:8">
      <c r="D25" s="434"/>
      <c r="E25" s="381" t="s">
        <v>6</v>
      </c>
      <c r="F25" s="381"/>
      <c r="G25" s="381"/>
    </row>
    <row r="26" spans="1:8">
      <c r="B26" s="545" t="str">
        <f>'หมายเหตุ2  '!A25</f>
        <v>เงินรับฝากอื่นๆ ปี 57-59</v>
      </c>
      <c r="C26" s="545"/>
      <c r="D26" s="545"/>
      <c r="E26" s="438">
        <f>'หมายเหตุ2  '!G25</f>
        <v>0</v>
      </c>
      <c r="F26" s="438"/>
      <c r="G26" s="438"/>
      <c r="H26" s="353">
        <f>'หมายเหตุ2  '!G25</f>
        <v>0</v>
      </c>
    </row>
    <row r="27" spans="1:8">
      <c r="B27" s="392" t="s">
        <v>261</v>
      </c>
      <c r="E27" s="438">
        <f t="shared" ref="E27:E33" si="0">H27</f>
        <v>13771</v>
      </c>
      <c r="F27" s="400"/>
      <c r="G27" s="400"/>
      <c r="H27" s="353">
        <f>'หมายเหตุ2  '!G27</f>
        <v>13771</v>
      </c>
    </row>
    <row r="28" spans="1:8">
      <c r="B28" s="383" t="s">
        <v>72</v>
      </c>
      <c r="E28" s="361">
        <f t="shared" si="0"/>
        <v>19626.369999999995</v>
      </c>
      <c r="F28" s="400"/>
      <c r="G28" s="400"/>
      <c r="H28" s="353">
        <f>'หมายเหตุ2  '!G10</f>
        <v>19626.369999999995</v>
      </c>
    </row>
    <row r="29" spans="1:8">
      <c r="B29" s="383" t="s">
        <v>55</v>
      </c>
      <c r="E29" s="361">
        <f t="shared" si="0"/>
        <v>2102625</v>
      </c>
      <c r="F29" s="400"/>
      <c r="G29" s="400"/>
      <c r="H29" s="353">
        <f>'หมายเหตุ2  '!G11</f>
        <v>2102625</v>
      </c>
    </row>
    <row r="30" spans="1:8">
      <c r="B30" s="383" t="s">
        <v>100</v>
      </c>
      <c r="E30" s="361">
        <f t="shared" si="0"/>
        <v>8619.66</v>
      </c>
      <c r="F30" s="400"/>
      <c r="G30" s="400"/>
      <c r="H30" s="353">
        <f>'หมายเหตุ2  '!G12</f>
        <v>8619.66</v>
      </c>
    </row>
    <row r="31" spans="1:8">
      <c r="B31" s="383" t="s">
        <v>293</v>
      </c>
      <c r="E31" s="361">
        <f t="shared" si="0"/>
        <v>39472.5</v>
      </c>
      <c r="F31" s="400"/>
      <c r="G31" s="400"/>
      <c r="H31" s="353">
        <f>'หมายเหตุ2  '!G13</f>
        <v>39472.5</v>
      </c>
    </row>
    <row r="32" spans="1:8">
      <c r="B32" s="252" t="s">
        <v>179</v>
      </c>
      <c r="E32" s="361">
        <f t="shared" si="0"/>
        <v>1525936.52</v>
      </c>
      <c r="F32" s="400"/>
      <c r="G32" s="400"/>
      <c r="H32" s="353">
        <f>'หมายเหตุ2  '!G14</f>
        <v>1525936.52</v>
      </c>
    </row>
    <row r="33" spans="2:9">
      <c r="B33" s="541" t="s">
        <v>380</v>
      </c>
      <c r="C33" s="541"/>
      <c r="D33" s="541"/>
      <c r="E33" s="361">
        <f t="shared" si="0"/>
        <v>329730</v>
      </c>
      <c r="F33" s="400"/>
      <c r="G33" s="400"/>
      <c r="H33" s="353">
        <f>'หมายเหตุ2  '!G26</f>
        <v>329730</v>
      </c>
    </row>
    <row r="34" spans="2:9" ht="24" thickBot="1">
      <c r="D34" s="384" t="s">
        <v>73</v>
      </c>
      <c r="E34" s="283">
        <f>SUM(E26:E33)</f>
        <v>4039781.0500000003</v>
      </c>
      <c r="F34" s="328"/>
      <c r="G34" s="328">
        <v>0</v>
      </c>
      <c r="H34" s="283">
        <f>SUM(H26:H33)</f>
        <v>4039781.0500000003</v>
      </c>
      <c r="I34" s="353">
        <f>H34-E34</f>
        <v>0</v>
      </c>
    </row>
    <row r="35" spans="2:9" ht="24" thickTop="1">
      <c r="D35" s="384"/>
      <c r="E35" s="361"/>
      <c r="F35" s="361"/>
      <c r="G35" s="361"/>
    </row>
    <row r="36" spans="2:9">
      <c r="G36" s="353"/>
      <c r="H36" s="353">
        <f>'หมายเหตุ2  '!G17</f>
        <v>4039781.0500000003</v>
      </c>
    </row>
    <row r="37" spans="2:9">
      <c r="G37" s="353"/>
      <c r="H37" s="353"/>
    </row>
    <row r="38" spans="2:9">
      <c r="G38" s="353"/>
      <c r="H38" s="353"/>
    </row>
    <row r="39" spans="2:9">
      <c r="G39" s="353"/>
      <c r="H39" s="353"/>
    </row>
    <row r="40" spans="2:9">
      <c r="G40" s="353"/>
      <c r="H40" s="353"/>
    </row>
    <row r="41" spans="2:9">
      <c r="G41" s="353"/>
      <c r="H41" s="353"/>
    </row>
    <row r="42" spans="2:9">
      <c r="G42" s="353"/>
      <c r="H42" s="353"/>
    </row>
    <row r="43" spans="2:9">
      <c r="G43" s="353"/>
      <c r="H43" s="353"/>
    </row>
    <row r="44" spans="2:9">
      <c r="G44" s="353"/>
      <c r="H44" s="353"/>
    </row>
    <row r="45" spans="2:9">
      <c r="G45" s="353"/>
      <c r="H45" s="353"/>
    </row>
    <row r="46" spans="2:9">
      <c r="G46" s="353"/>
      <c r="H46" s="353"/>
    </row>
    <row r="47" spans="2:9">
      <c r="G47" s="353"/>
      <c r="H47" s="353"/>
    </row>
    <row r="48" spans="2:9">
      <c r="G48" s="353"/>
      <c r="H48" s="353"/>
    </row>
    <row r="49" spans="3:10">
      <c r="G49" s="353"/>
      <c r="H49" s="353"/>
    </row>
    <row r="50" spans="3:10">
      <c r="G50" s="353"/>
      <c r="H50" s="353"/>
    </row>
    <row r="51" spans="3:10">
      <c r="G51" s="353"/>
      <c r="H51" s="353"/>
    </row>
    <row r="52" spans="3:10">
      <c r="G52" s="353"/>
      <c r="H52" s="353"/>
    </row>
    <row r="53" spans="3:10" ht="30.75" customHeight="1">
      <c r="D53" s="435"/>
      <c r="E53" s="68"/>
      <c r="F53" s="68"/>
      <c r="G53" s="68"/>
      <c r="H53" s="68"/>
    </row>
    <row r="54" spans="3:10" ht="30.75" customHeight="1">
      <c r="D54" s="435"/>
      <c r="E54" s="68"/>
      <c r="F54" s="68"/>
      <c r="G54" s="68"/>
      <c r="H54" s="68"/>
    </row>
    <row r="55" spans="3:10" ht="30.75" customHeight="1">
      <c r="D55" s="435"/>
      <c r="E55" s="68"/>
      <c r="F55" s="68"/>
      <c r="G55" s="68"/>
      <c r="H55" s="68"/>
    </row>
    <row r="56" spans="3:10" ht="30.75" customHeight="1">
      <c r="D56" s="435"/>
      <c r="E56" s="68"/>
      <c r="F56" s="68"/>
      <c r="G56" s="68"/>
      <c r="H56" s="68"/>
    </row>
    <row r="57" spans="3:10" ht="30.75" customHeight="1">
      <c r="D57" s="435"/>
      <c r="E57" s="68"/>
      <c r="F57" s="68"/>
      <c r="G57" s="68"/>
      <c r="H57" s="68"/>
    </row>
    <row r="58" spans="3:10" ht="30.75" customHeight="1">
      <c r="D58" s="435"/>
      <c r="E58" s="68"/>
      <c r="F58" s="68"/>
      <c r="G58" s="68"/>
      <c r="H58" s="68"/>
    </row>
    <row r="59" spans="3:10" ht="30.75" customHeight="1">
      <c r="D59" s="435"/>
      <c r="E59" s="68"/>
      <c r="F59" s="68"/>
      <c r="G59" s="68"/>
      <c r="H59" s="68"/>
    </row>
    <row r="60" spans="3:10">
      <c r="C60" s="435"/>
      <c r="H60" s="361"/>
      <c r="J60" s="361"/>
    </row>
    <row r="61" spans="3:10">
      <c r="C61" s="435"/>
      <c r="H61" s="361"/>
      <c r="J61" s="361"/>
    </row>
    <row r="62" spans="3:10">
      <c r="C62" s="435"/>
      <c r="H62" s="361"/>
      <c r="J62" s="361"/>
    </row>
    <row r="63" spans="3:10">
      <c r="C63" s="435"/>
      <c r="H63" s="361"/>
      <c r="J63" s="361"/>
    </row>
  </sheetData>
  <mergeCells count="12">
    <mergeCell ref="B14:D14"/>
    <mergeCell ref="A2:G2"/>
    <mergeCell ref="A3:G3"/>
    <mergeCell ref="A4:G4"/>
    <mergeCell ref="B10:D10"/>
    <mergeCell ref="B13:D13"/>
    <mergeCell ref="B33:D33"/>
    <mergeCell ref="B15:D15"/>
    <mergeCell ref="A20:G20"/>
    <mergeCell ref="A21:G21"/>
    <mergeCell ref="A22:G22"/>
    <mergeCell ref="B26:D26"/>
  </mergeCells>
  <pageMargins left="0.15748031496062992" right="0.15748031496062992" top="0.23622047244094491" bottom="0.27559055118110237" header="0.15748031496062992" footer="0.23622047244094491"/>
  <pageSetup paperSize="9" scale="9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0"/>
  <sheetViews>
    <sheetView topLeftCell="A58" zoomScaleNormal="100" workbookViewId="0">
      <selection activeCell="C15" sqref="C15:D15"/>
    </sheetView>
  </sheetViews>
  <sheetFormatPr defaultRowHeight="21"/>
  <cols>
    <col min="1" max="1" width="38.5703125" style="20" customWidth="1"/>
    <col min="2" max="2" width="15.42578125" style="20" customWidth="1"/>
    <col min="3" max="3" width="7.85546875" style="20" customWidth="1"/>
    <col min="4" max="4" width="7" style="20" customWidth="1"/>
    <col min="5" max="5" width="6.85546875" style="20" customWidth="1"/>
    <col min="6" max="6" width="7.28515625" style="20" customWidth="1"/>
    <col min="7" max="7" width="6.28515625" style="20" customWidth="1"/>
    <col min="8" max="8" width="7.85546875" style="20" customWidth="1"/>
    <col min="9" max="9" width="11.140625" style="20" bestFit="1" customWidth="1"/>
    <col min="10" max="10" width="14.28515625" style="20" customWidth="1"/>
    <col min="11" max="11" width="12" style="21" bestFit="1" customWidth="1"/>
    <col min="12" max="12" width="11.28515625" style="21" customWidth="1"/>
    <col min="13" max="13" width="11.140625" style="21" bestFit="1" customWidth="1"/>
    <col min="14" max="14" width="11.140625" style="21" customWidth="1"/>
    <col min="15" max="16" width="8.140625" style="21" bestFit="1" customWidth="1"/>
    <col min="17" max="17" width="9.85546875" style="21" bestFit="1" customWidth="1"/>
    <col min="18" max="16384" width="9.140625" style="20"/>
  </cols>
  <sheetData>
    <row r="1" spans="1:17" ht="21.75" customHeight="1">
      <c r="A1" s="539" t="s">
        <v>76</v>
      </c>
      <c r="B1" s="539"/>
      <c r="C1" s="539"/>
      <c r="D1" s="539"/>
      <c r="E1" s="539"/>
      <c r="F1" s="539"/>
      <c r="G1" s="539"/>
      <c r="H1" s="539"/>
      <c r="I1" s="539"/>
      <c r="J1" s="30"/>
    </row>
    <row r="2" spans="1:17" ht="21.75" customHeight="1">
      <c r="A2" s="539" t="s">
        <v>112</v>
      </c>
      <c r="B2" s="539"/>
      <c r="C2" s="539"/>
      <c r="D2" s="539"/>
      <c r="E2" s="539"/>
      <c r="F2" s="539"/>
      <c r="G2" s="539"/>
      <c r="H2" s="539"/>
      <c r="I2" s="539"/>
      <c r="J2" s="30"/>
    </row>
    <row r="3" spans="1:17" ht="21.75" customHeight="1">
      <c r="A3" s="571" t="s">
        <v>419</v>
      </c>
      <c r="B3" s="571"/>
      <c r="C3" s="571"/>
      <c r="D3" s="571"/>
      <c r="E3" s="571"/>
      <c r="F3" s="571"/>
      <c r="G3" s="571"/>
      <c r="H3" s="571"/>
      <c r="I3" s="571"/>
      <c r="J3" s="225"/>
      <c r="K3" s="227"/>
      <c r="L3" s="227"/>
      <c r="M3" s="227"/>
      <c r="N3" s="228"/>
      <c r="O3" s="227"/>
      <c r="P3" s="227"/>
      <c r="Q3" s="227"/>
    </row>
    <row r="4" spans="1:17" ht="14.25" customHeight="1">
      <c r="A4" s="212"/>
      <c r="B4" s="212"/>
      <c r="C4" s="212"/>
      <c r="D4" s="212"/>
      <c r="E4" s="212"/>
      <c r="F4" s="212"/>
      <c r="G4" s="212"/>
      <c r="J4" s="21"/>
    </row>
    <row r="5" spans="1:17" s="214" customFormat="1" ht="25.5" customHeight="1">
      <c r="A5" s="213" t="s">
        <v>311</v>
      </c>
      <c r="B5" s="296" t="s">
        <v>17</v>
      </c>
      <c r="C5" s="579" t="s">
        <v>97</v>
      </c>
      <c r="D5" s="580"/>
      <c r="E5" s="576" t="s">
        <v>98</v>
      </c>
      <c r="F5" s="576"/>
      <c r="G5" s="576" t="s">
        <v>99</v>
      </c>
      <c r="H5" s="576"/>
      <c r="J5" s="21"/>
      <c r="K5" s="21"/>
      <c r="L5" s="21"/>
      <c r="M5" s="21"/>
      <c r="N5" s="21"/>
      <c r="O5" s="21"/>
      <c r="P5" s="21"/>
      <c r="Q5" s="21"/>
    </row>
    <row r="6" spans="1:17" s="214" customFormat="1" ht="25.5" customHeight="1">
      <c r="A6" s="453"/>
      <c r="B6" s="454"/>
      <c r="C6" s="577"/>
      <c r="D6" s="578"/>
      <c r="E6" s="574"/>
      <c r="F6" s="575"/>
      <c r="G6" s="577"/>
      <c r="H6" s="578"/>
      <c r="J6" s="21"/>
      <c r="K6" s="21"/>
      <c r="L6" s="21"/>
      <c r="M6" s="21"/>
      <c r="N6" s="21"/>
      <c r="O6" s="21"/>
      <c r="P6" s="21"/>
      <c r="Q6" s="21"/>
    </row>
    <row r="7" spans="1:17" s="214" customFormat="1" ht="25.5" customHeight="1">
      <c r="A7" s="453" t="str">
        <f>'[2]หมายเหตุ2  '!$A$7</f>
        <v>เงินรับฝากอื่นๆ ปี 57-59</v>
      </c>
      <c r="B7" s="454">
        <v>0</v>
      </c>
      <c r="C7" s="577"/>
      <c r="D7" s="578"/>
      <c r="E7" s="585">
        <v>76433</v>
      </c>
      <c r="F7" s="586"/>
      <c r="G7" s="577">
        <v>0</v>
      </c>
      <c r="H7" s="578"/>
      <c r="J7" s="21"/>
      <c r="K7" s="21"/>
      <c r="L7" s="21"/>
      <c r="M7" s="21"/>
      <c r="N7" s="21"/>
      <c r="O7" s="21"/>
      <c r="P7" s="21"/>
      <c r="Q7" s="21"/>
    </row>
    <row r="8" spans="1:17" s="214" customFormat="1" ht="25.5" customHeight="1">
      <c r="A8" s="453" t="s">
        <v>295</v>
      </c>
      <c r="B8" s="499">
        <v>380100</v>
      </c>
      <c r="C8" s="577">
        <f>'ใบผ่านมาตรฐาน 1, 2'!G23</f>
        <v>0</v>
      </c>
      <c r="D8" s="578"/>
      <c r="E8" s="585">
        <f>'ใบผ่านมาตรฐาน 1, 2'!F58</f>
        <v>50370</v>
      </c>
      <c r="F8" s="586"/>
      <c r="G8" s="577">
        <f>B8+C8-E8</f>
        <v>329730</v>
      </c>
      <c r="H8" s="578"/>
      <c r="J8" s="21"/>
      <c r="K8" s="21"/>
      <c r="L8" s="21"/>
      <c r="M8" s="21"/>
      <c r="N8" s="21"/>
      <c r="O8" s="21"/>
      <c r="P8" s="21"/>
      <c r="Q8" s="21"/>
    </row>
    <row r="9" spans="1:17" s="214" customFormat="1" ht="25.5" customHeight="1">
      <c r="A9" s="494" t="s">
        <v>286</v>
      </c>
      <c r="B9" s="499">
        <v>13771</v>
      </c>
      <c r="C9" s="577">
        <f>'ใบผ่านมาตรฐาน 1, 2'!G67</f>
        <v>13771</v>
      </c>
      <c r="D9" s="578"/>
      <c r="E9" s="585">
        <f>'ใบผ่านมาตรฐาน 1, 2'!F56</f>
        <v>13771</v>
      </c>
      <c r="F9" s="586"/>
      <c r="G9" s="583">
        <f t="shared" ref="G9:G14" si="0">B9+C9-E9</f>
        <v>13771</v>
      </c>
      <c r="H9" s="584"/>
      <c r="J9" s="21"/>
      <c r="K9" s="21"/>
      <c r="L9" s="21"/>
      <c r="M9" s="21"/>
      <c r="N9" s="21"/>
      <c r="O9" s="21"/>
      <c r="P9" s="21"/>
      <c r="Q9" s="21"/>
    </row>
    <row r="10" spans="1:17" s="21" customFormat="1" ht="25.5" customHeight="1">
      <c r="A10" s="455" t="s">
        <v>72</v>
      </c>
      <c r="B10" s="500">
        <v>32476.83</v>
      </c>
      <c r="C10" s="562">
        <f>'ใบผ่านมาตรฐาน 1, 2'!G66</f>
        <v>19626.37</v>
      </c>
      <c r="D10" s="563"/>
      <c r="E10" s="581">
        <f>'ใบผ่านมาตรฐาน 1, 2'!F54</f>
        <v>32476.83</v>
      </c>
      <c r="F10" s="582"/>
      <c r="G10" s="552">
        <f t="shared" si="0"/>
        <v>19626.369999999995</v>
      </c>
      <c r="H10" s="553"/>
      <c r="K10" s="21">
        <f>SUM(B9:B14)</f>
        <v>3813765.24</v>
      </c>
    </row>
    <row r="11" spans="1:17" s="21" customFormat="1" ht="25.5" customHeight="1">
      <c r="A11" s="455" t="s">
        <v>55</v>
      </c>
      <c r="B11" s="500">
        <v>2194100</v>
      </c>
      <c r="C11" s="562">
        <f>'ใบผ่านมาตรฐาน 1, 2'!G22</f>
        <v>54275</v>
      </c>
      <c r="D11" s="563"/>
      <c r="E11" s="581">
        <f>'ใบผ่านมาตรฐาน 1, 2'!F55</f>
        <v>145750</v>
      </c>
      <c r="F11" s="582"/>
      <c r="G11" s="552">
        <f t="shared" si="0"/>
        <v>2102625</v>
      </c>
      <c r="H11" s="553"/>
    </row>
    <row r="12" spans="1:17" s="21" customFormat="1" ht="25.5" customHeight="1">
      <c r="A12" s="455" t="s">
        <v>100</v>
      </c>
      <c r="B12" s="500">
        <v>8286.24</v>
      </c>
      <c r="C12" s="562">
        <f>'ใบผ่านมาตรฐาน 1, 2'!G19</f>
        <v>333.42</v>
      </c>
      <c r="D12" s="563"/>
      <c r="E12" s="564">
        <f>'ใบผ่านมาตรฐาน 1, 2'!F60</f>
        <v>0</v>
      </c>
      <c r="F12" s="565"/>
      <c r="G12" s="552">
        <f>B12+C12-E12</f>
        <v>8619.66</v>
      </c>
      <c r="H12" s="553"/>
    </row>
    <row r="13" spans="1:17" s="21" customFormat="1" ht="25.5" customHeight="1">
      <c r="A13" s="455" t="s">
        <v>293</v>
      </c>
      <c r="B13" s="500">
        <v>39194.65</v>
      </c>
      <c r="C13" s="562">
        <f>'ใบผ่านมาตรฐาน 1, 2'!G20</f>
        <v>277.85000000000002</v>
      </c>
      <c r="D13" s="563"/>
      <c r="E13" s="492"/>
      <c r="F13" s="493"/>
      <c r="G13" s="552">
        <f t="shared" si="0"/>
        <v>39472.5</v>
      </c>
      <c r="H13" s="553"/>
    </row>
    <row r="14" spans="1:17" s="21" customFormat="1" ht="25.5" customHeight="1">
      <c r="A14" s="455" t="s">
        <v>179</v>
      </c>
      <c r="B14" s="491">
        <v>1525936.52</v>
      </c>
      <c r="C14" s="562">
        <v>0</v>
      </c>
      <c r="D14" s="563"/>
      <c r="E14" s="564">
        <v>0</v>
      </c>
      <c r="F14" s="565"/>
      <c r="G14" s="552">
        <f t="shared" si="0"/>
        <v>1525936.52</v>
      </c>
      <c r="H14" s="553"/>
    </row>
    <row r="15" spans="1:17" s="481" customFormat="1" ht="25.5" customHeight="1">
      <c r="A15" s="455" t="s">
        <v>381</v>
      </c>
      <c r="B15" s="487">
        <v>0</v>
      </c>
      <c r="C15" s="560">
        <f>'ใบผ่านมาตรฐาน 1, 2'!G68</f>
        <v>23250</v>
      </c>
      <c r="D15" s="561"/>
      <c r="E15" s="556">
        <f>'ใบผ่านมาตรฐาน 1, 2'!F57</f>
        <v>23250</v>
      </c>
      <c r="F15" s="557"/>
      <c r="G15" s="550">
        <f>B15+C15-E15</f>
        <v>0</v>
      </c>
      <c r="H15" s="551"/>
    </row>
    <row r="16" spans="1:17" s="21" customFormat="1" ht="25.5" customHeight="1">
      <c r="A16" s="455" t="s">
        <v>400</v>
      </c>
      <c r="B16" s="28"/>
      <c r="C16" s="554">
        <v>0</v>
      </c>
      <c r="D16" s="555"/>
      <c r="E16" s="558">
        <v>0</v>
      </c>
      <c r="F16" s="559"/>
      <c r="G16" s="474"/>
      <c r="H16" s="475"/>
    </row>
    <row r="17" spans="1:17" ht="25.5" customHeight="1">
      <c r="A17" s="215" t="s">
        <v>73</v>
      </c>
      <c r="B17" s="431">
        <f>SUM(B6:B15)</f>
        <v>4193865.24</v>
      </c>
      <c r="C17" s="547">
        <f>SUM(C6:D16)</f>
        <v>111533.64</v>
      </c>
      <c r="D17" s="548"/>
      <c r="E17" s="547">
        <f>SUM(E6:F16)</f>
        <v>342050.83</v>
      </c>
      <c r="F17" s="548"/>
      <c r="G17" s="547">
        <f>SUM(G6:H16)</f>
        <v>4039781.0500000003</v>
      </c>
      <c r="H17" s="548"/>
      <c r="I17" s="21"/>
      <c r="J17" s="21"/>
    </row>
    <row r="18" spans="1:17" s="468" customFormat="1" ht="25.5" customHeight="1">
      <c r="A18" s="464"/>
      <c r="B18" s="465">
        <v>4399678.59</v>
      </c>
      <c r="C18" s="549">
        <f>B17-B18</f>
        <v>-205813.34999999963</v>
      </c>
      <c r="D18" s="549"/>
      <c r="E18" s="466"/>
      <c r="F18" s="466"/>
      <c r="G18" s="466"/>
      <c r="H18" s="466"/>
      <c r="I18" s="467"/>
      <c r="J18" s="21">
        <v>4270298.24</v>
      </c>
      <c r="K18" s="21">
        <f>J18-B17</f>
        <v>76433</v>
      </c>
      <c r="L18" s="467"/>
      <c r="M18" s="467"/>
      <c r="N18" s="467"/>
      <c r="O18" s="467"/>
      <c r="P18" s="467"/>
      <c r="Q18" s="467"/>
    </row>
    <row r="19" spans="1:17" ht="25.5" customHeight="1">
      <c r="A19" s="539" t="s">
        <v>76</v>
      </c>
      <c r="B19" s="539"/>
      <c r="C19" s="539"/>
      <c r="D19" s="539"/>
      <c r="E19" s="539"/>
      <c r="F19" s="539"/>
      <c r="G19" s="539"/>
      <c r="H19" s="539"/>
      <c r="I19" s="539"/>
      <c r="J19" s="21">
        <f>B17-J18</f>
        <v>-76433</v>
      </c>
    </row>
    <row r="20" spans="1:17" ht="25.5" customHeight="1">
      <c r="A20" s="539" t="s">
        <v>112</v>
      </c>
      <c r="B20" s="539"/>
      <c r="C20" s="539"/>
      <c r="D20" s="539"/>
      <c r="E20" s="539"/>
      <c r="F20" s="539"/>
      <c r="G20" s="539"/>
      <c r="H20" s="539"/>
      <c r="I20" s="539"/>
      <c r="J20" s="21"/>
    </row>
    <row r="21" spans="1:17" ht="28.5" customHeight="1">
      <c r="A21" s="571" t="s">
        <v>420</v>
      </c>
      <c r="B21" s="571"/>
      <c r="C21" s="571"/>
      <c r="D21" s="571"/>
      <c r="E21" s="571"/>
      <c r="F21" s="571"/>
      <c r="G21" s="571"/>
      <c r="H21" s="571"/>
      <c r="I21" s="571"/>
      <c r="J21" s="21"/>
    </row>
    <row r="22" spans="1:17" ht="14.25" customHeight="1">
      <c r="A22" s="225"/>
      <c r="B22" s="225"/>
      <c r="C22" s="225"/>
      <c r="D22" s="225"/>
      <c r="E22" s="225"/>
      <c r="F22" s="225"/>
      <c r="G22" s="225"/>
      <c r="H22" s="225"/>
      <c r="I22" s="225"/>
      <c r="J22" s="21"/>
    </row>
    <row r="23" spans="1:17" ht="22.5" customHeight="1">
      <c r="A23" s="213" t="s">
        <v>311</v>
      </c>
      <c r="B23" s="445"/>
      <c r="C23" s="445"/>
      <c r="D23" s="569"/>
      <c r="E23" s="569"/>
      <c r="F23" s="569"/>
      <c r="G23" s="568" t="s">
        <v>6</v>
      </c>
      <c r="H23" s="568"/>
      <c r="I23" s="339"/>
      <c r="K23" s="215"/>
    </row>
    <row r="24" spans="1:17" ht="22.5" customHeight="1">
      <c r="A24" s="446"/>
      <c r="B24" s="342"/>
      <c r="C24" s="445"/>
      <c r="G24" s="567"/>
      <c r="H24" s="568"/>
      <c r="I24" s="362"/>
      <c r="J24" s="212"/>
    </row>
    <row r="25" spans="1:17" ht="22.5" customHeight="1">
      <c r="A25" s="446" t="str">
        <f>A7</f>
        <v>เงินรับฝากอื่นๆ ปี 57-59</v>
      </c>
      <c r="B25" s="443"/>
      <c r="C25" s="445"/>
      <c r="D25" s="566"/>
      <c r="E25" s="566"/>
      <c r="F25" s="362"/>
      <c r="G25" s="567">
        <f t="shared" ref="G25:G32" si="1">G7</f>
        <v>0</v>
      </c>
      <c r="H25" s="568"/>
      <c r="I25" s="215"/>
      <c r="J25" s="212"/>
      <c r="K25" s="447"/>
    </row>
    <row r="26" spans="1:17" ht="24.75" customHeight="1">
      <c r="A26" s="446" t="s">
        <v>353</v>
      </c>
      <c r="B26" s="443"/>
      <c r="C26" s="445"/>
      <c r="D26" s="329"/>
      <c r="E26" s="330"/>
      <c r="G26" s="567">
        <f>G8</f>
        <v>329730</v>
      </c>
      <c r="H26" s="568"/>
      <c r="I26" s="215"/>
    </row>
    <row r="27" spans="1:17" ht="22.5" customHeight="1">
      <c r="A27" s="446" t="s">
        <v>359</v>
      </c>
      <c r="B27" s="443"/>
      <c r="C27" s="445"/>
      <c r="D27" s="570"/>
      <c r="E27" s="570"/>
      <c r="F27" s="40"/>
      <c r="G27" s="567">
        <f t="shared" si="1"/>
        <v>13771</v>
      </c>
      <c r="H27" s="568"/>
      <c r="I27" s="448"/>
      <c r="J27" s="21"/>
    </row>
    <row r="28" spans="1:17" ht="22.5" customHeight="1">
      <c r="A28" s="449" t="s">
        <v>354</v>
      </c>
      <c r="B28" s="450"/>
      <c r="C28" s="445"/>
      <c r="D28" s="329"/>
      <c r="E28" s="330"/>
      <c r="F28" s="40"/>
      <c r="G28" s="567">
        <f t="shared" si="1"/>
        <v>19626.369999999995</v>
      </c>
      <c r="H28" s="568"/>
      <c r="I28" s="338"/>
      <c r="J28" s="21"/>
    </row>
    <row r="29" spans="1:17" ht="22.5" customHeight="1">
      <c r="A29" s="449" t="s">
        <v>355</v>
      </c>
      <c r="B29" s="450"/>
      <c r="C29" s="445"/>
      <c r="D29" s="329"/>
      <c r="E29" s="330"/>
      <c r="F29" s="40"/>
      <c r="G29" s="567">
        <f t="shared" si="1"/>
        <v>2102625</v>
      </c>
      <c r="H29" s="568"/>
      <c r="I29" s="338"/>
      <c r="J29" s="21"/>
    </row>
    <row r="30" spans="1:17" ht="22.5" customHeight="1">
      <c r="A30" s="449" t="s">
        <v>356</v>
      </c>
      <c r="B30" s="450"/>
      <c r="C30" s="445"/>
      <c r="D30" s="329"/>
      <c r="E30" s="330"/>
      <c r="F30" s="40"/>
      <c r="G30" s="567">
        <f t="shared" si="1"/>
        <v>8619.66</v>
      </c>
      <c r="H30" s="568"/>
      <c r="I30" s="338"/>
      <c r="J30" s="21"/>
    </row>
    <row r="31" spans="1:17" ht="22.5" customHeight="1">
      <c r="A31" s="449" t="s">
        <v>357</v>
      </c>
      <c r="B31" s="450"/>
      <c r="C31" s="40"/>
      <c r="D31" s="329"/>
      <c r="E31" s="330"/>
      <c r="F31" s="40"/>
      <c r="G31" s="567">
        <f t="shared" si="1"/>
        <v>39472.5</v>
      </c>
      <c r="H31" s="568"/>
      <c r="I31" s="338"/>
      <c r="J31" s="21"/>
    </row>
    <row r="32" spans="1:17" ht="22.5" customHeight="1">
      <c r="A32" s="451" t="s">
        <v>358</v>
      </c>
      <c r="B32" s="450"/>
      <c r="C32" s="40"/>
      <c r="D32" s="329"/>
      <c r="E32" s="330"/>
      <c r="F32" s="40"/>
      <c r="G32" s="567">
        <f t="shared" si="1"/>
        <v>1525936.52</v>
      </c>
      <c r="H32" s="568"/>
      <c r="I32" s="338"/>
      <c r="J32" s="21"/>
    </row>
    <row r="33" spans="1:12" ht="30.75" customHeight="1" thickBot="1">
      <c r="A33" s="30"/>
      <c r="B33" s="450"/>
      <c r="C33" s="40"/>
      <c r="D33" s="329"/>
      <c r="E33" s="330"/>
      <c r="F33" s="40"/>
      <c r="G33" s="572">
        <f>SUM(G24:H32)</f>
        <v>4039781.0500000003</v>
      </c>
      <c r="H33" s="573"/>
      <c r="I33" s="338"/>
      <c r="J33" s="21">
        <f>G17-G33</f>
        <v>0</v>
      </c>
    </row>
    <row r="34" spans="1:12" ht="22.5" customHeight="1" thickTop="1">
      <c r="A34" s="30"/>
      <c r="B34" s="452"/>
      <c r="C34" s="40"/>
      <c r="D34" s="329"/>
      <c r="E34" s="330"/>
      <c r="F34" s="40"/>
      <c r="G34" s="40"/>
      <c r="H34" s="40"/>
      <c r="I34" s="338"/>
      <c r="J34" s="21"/>
    </row>
    <row r="35" spans="1:12" ht="22.5" customHeight="1">
      <c r="A35" s="30"/>
      <c r="B35" s="338"/>
      <c r="C35" s="40"/>
      <c r="D35" s="329"/>
      <c r="E35" s="330"/>
      <c r="F35" s="40"/>
      <c r="G35" s="40"/>
      <c r="H35" s="40"/>
      <c r="I35" s="338"/>
      <c r="J35" s="21"/>
    </row>
    <row r="36" spans="1:12" ht="22.5" customHeight="1">
      <c r="A36" s="30"/>
      <c r="B36" s="338"/>
      <c r="C36" s="40"/>
      <c r="D36" s="329"/>
      <c r="E36" s="330"/>
      <c r="F36" s="40"/>
      <c r="G36" s="40"/>
      <c r="H36" s="40"/>
      <c r="I36" s="338"/>
      <c r="J36" s="21"/>
    </row>
    <row r="37" spans="1:12" ht="22.5" customHeight="1">
      <c r="A37" s="30"/>
      <c r="B37" s="338"/>
      <c r="C37" s="40"/>
      <c r="D37" s="329"/>
      <c r="E37" s="330"/>
      <c r="F37" s="40"/>
      <c r="G37" s="40"/>
      <c r="H37" s="40"/>
      <c r="I37" s="338"/>
      <c r="J37" s="21"/>
    </row>
    <row r="38" spans="1:12">
      <c r="K38" s="344" t="e">
        <f>#REF!-#REF!</f>
        <v>#REF!</v>
      </c>
      <c r="L38" s="21" t="s">
        <v>284</v>
      </c>
    </row>
    <row r="49" spans="11:12" ht="21.75" thickBot="1">
      <c r="K49" s="216" t="e">
        <f>SUM(K38:K48)</f>
        <v>#REF!</v>
      </c>
      <c r="L49" s="21" t="s">
        <v>73</v>
      </c>
    </row>
    <row r="50" spans="11:12" ht="21.75" thickTop="1"/>
  </sheetData>
  <mergeCells count="58">
    <mergeCell ref="C8:D8"/>
    <mergeCell ref="C6:D6"/>
    <mergeCell ref="C9:D9"/>
    <mergeCell ref="G9:H9"/>
    <mergeCell ref="E9:F9"/>
    <mergeCell ref="C7:D7"/>
    <mergeCell ref="E8:F8"/>
    <mergeCell ref="G8:H8"/>
    <mergeCell ref="G7:H7"/>
    <mergeCell ref="E7:F7"/>
    <mergeCell ref="C10:D10"/>
    <mergeCell ref="C13:D13"/>
    <mergeCell ref="G10:H10"/>
    <mergeCell ref="C11:D11"/>
    <mergeCell ref="E10:F10"/>
    <mergeCell ref="G11:H11"/>
    <mergeCell ref="E11:F11"/>
    <mergeCell ref="C12:D12"/>
    <mergeCell ref="E12:F12"/>
    <mergeCell ref="G12:H12"/>
    <mergeCell ref="A1:I1"/>
    <mergeCell ref="A2:I2"/>
    <mergeCell ref="A3:I3"/>
    <mergeCell ref="E6:F6"/>
    <mergeCell ref="G5:H5"/>
    <mergeCell ref="G6:H6"/>
    <mergeCell ref="E5:F5"/>
    <mergeCell ref="C5:D5"/>
    <mergeCell ref="G33:H33"/>
    <mergeCell ref="G24:H24"/>
    <mergeCell ref="G32:H32"/>
    <mergeCell ref="G25:H25"/>
    <mergeCell ref="G29:H29"/>
    <mergeCell ref="G26:H26"/>
    <mergeCell ref="G31:H31"/>
    <mergeCell ref="G28:H28"/>
    <mergeCell ref="D25:E25"/>
    <mergeCell ref="G30:H30"/>
    <mergeCell ref="A19:I19"/>
    <mergeCell ref="A20:I20"/>
    <mergeCell ref="D23:F23"/>
    <mergeCell ref="G27:H27"/>
    <mergeCell ref="D27:E27"/>
    <mergeCell ref="G23:H23"/>
    <mergeCell ref="A21:I21"/>
    <mergeCell ref="C17:D17"/>
    <mergeCell ref="C18:D18"/>
    <mergeCell ref="G15:H15"/>
    <mergeCell ref="G13:H13"/>
    <mergeCell ref="C16:D16"/>
    <mergeCell ref="E17:F17"/>
    <mergeCell ref="E15:F15"/>
    <mergeCell ref="E16:F16"/>
    <mergeCell ref="G17:H17"/>
    <mergeCell ref="C15:D15"/>
    <mergeCell ref="C14:D14"/>
    <mergeCell ref="E14:F14"/>
    <mergeCell ref="G14:H14"/>
  </mergeCells>
  <phoneticPr fontId="0" type="noConversion"/>
  <pageMargins left="0.33" right="0.16" top="0.23" bottom="0.28999999999999998" header="0.14000000000000001" footer="0.22"/>
  <pageSetup paperSize="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M74"/>
  <sheetViews>
    <sheetView topLeftCell="C64" zoomScaleNormal="100" workbookViewId="0">
      <selection activeCell="L78" sqref="L78"/>
    </sheetView>
  </sheetViews>
  <sheetFormatPr defaultRowHeight="21.75"/>
  <cols>
    <col min="1" max="1" width="5.5703125" style="103" customWidth="1"/>
    <col min="2" max="2" width="18" style="103" customWidth="1"/>
    <col min="3" max="3" width="2.7109375" style="103" customWidth="1"/>
    <col min="4" max="4" width="18" style="103" customWidth="1"/>
    <col min="5" max="5" width="6.85546875" style="103" customWidth="1"/>
    <col min="6" max="6" width="16.7109375" style="103" customWidth="1"/>
    <col min="7" max="7" width="7" style="103" customWidth="1"/>
    <col min="8" max="8" width="4.28515625" style="103" customWidth="1"/>
    <col min="9" max="9" width="15.140625" style="103" customWidth="1"/>
    <col min="10" max="10" width="4.85546875" style="103" bestFit="1" customWidth="1"/>
    <col min="11" max="11" width="14.7109375" style="103" customWidth="1"/>
    <col min="12" max="12" width="17" style="103" customWidth="1"/>
    <col min="13" max="13" width="17.85546875" style="103" customWidth="1"/>
    <col min="14" max="16384" width="9.140625" style="103"/>
  </cols>
  <sheetData>
    <row r="1" spans="1:11" s="137" customFormat="1" ht="24" customHeight="1">
      <c r="A1" s="137" t="s">
        <v>49</v>
      </c>
      <c r="E1" s="138"/>
      <c r="F1" s="143" t="s">
        <v>157</v>
      </c>
    </row>
    <row r="2" spans="1:11" s="137" customFormat="1" ht="18.75" customHeight="1">
      <c r="E2" s="138"/>
    </row>
    <row r="3" spans="1:11" s="137" customFormat="1" ht="26.25" customHeight="1">
      <c r="A3" s="137" t="s">
        <v>39</v>
      </c>
      <c r="E3" s="138"/>
      <c r="F3" s="137" t="s">
        <v>50</v>
      </c>
      <c r="G3" s="137" t="s">
        <v>271</v>
      </c>
    </row>
    <row r="4" spans="1:11" s="105" customFormat="1" ht="18.75" customHeight="1">
      <c r="A4" s="124"/>
      <c r="B4" s="124"/>
      <c r="C4" s="124"/>
      <c r="D4" s="124"/>
      <c r="E4" s="125"/>
      <c r="F4" s="124"/>
      <c r="G4" s="124"/>
      <c r="H4" s="124"/>
      <c r="I4" s="124"/>
    </row>
    <row r="5" spans="1:11" ht="27" customHeight="1">
      <c r="A5" s="105" t="s">
        <v>138</v>
      </c>
      <c r="B5" s="105"/>
      <c r="C5" s="105"/>
      <c r="D5" s="105"/>
      <c r="E5" s="105"/>
      <c r="F5" s="126" t="s">
        <v>430</v>
      </c>
      <c r="G5" s="105"/>
      <c r="H5" s="127"/>
      <c r="I5" s="135">
        <v>4371406.42</v>
      </c>
      <c r="J5" s="121" t="s">
        <v>15</v>
      </c>
      <c r="K5" s="277" t="s">
        <v>240</v>
      </c>
    </row>
    <row r="6" spans="1:11" ht="32.25" customHeight="1">
      <c r="A6" s="122" t="s">
        <v>40</v>
      </c>
      <c r="B6" s="103" t="s">
        <v>41</v>
      </c>
      <c r="H6" s="128"/>
    </row>
    <row r="7" spans="1:11" ht="21" customHeight="1">
      <c r="B7" s="129" t="s">
        <v>42</v>
      </c>
      <c r="C7" s="130"/>
      <c r="D7" s="129" t="s">
        <v>51</v>
      </c>
      <c r="E7" s="130"/>
      <c r="F7" s="129" t="s">
        <v>6</v>
      </c>
      <c r="G7" s="129"/>
      <c r="H7" s="128"/>
    </row>
    <row r="8" spans="1:11" ht="21" customHeight="1">
      <c r="B8" s="129"/>
      <c r="C8" s="130"/>
      <c r="D8" s="129"/>
      <c r="E8" s="130"/>
      <c r="F8" s="129"/>
      <c r="G8" s="129"/>
      <c r="H8" s="128"/>
    </row>
    <row r="9" spans="1:11" ht="21" customHeight="1">
      <c r="B9" s="136"/>
      <c r="C9" s="136"/>
      <c r="D9" s="136"/>
      <c r="E9" s="130"/>
      <c r="F9" s="331"/>
      <c r="G9" s="129"/>
      <c r="H9" s="128"/>
    </row>
    <row r="10" spans="1:11" ht="21" customHeight="1">
      <c r="B10" s="331"/>
      <c r="C10" s="130"/>
      <c r="D10" s="331"/>
      <c r="E10" s="130"/>
      <c r="F10" s="331"/>
      <c r="G10" s="129"/>
      <c r="H10" s="128"/>
    </row>
    <row r="11" spans="1:11" ht="21" customHeight="1" thickBot="1">
      <c r="B11" s="331"/>
      <c r="C11" s="130"/>
      <c r="D11" s="331"/>
      <c r="E11" s="130"/>
      <c r="F11" s="331"/>
      <c r="G11" s="129"/>
      <c r="H11" s="128"/>
      <c r="I11" s="356"/>
    </row>
    <row r="12" spans="1:11" ht="21" customHeight="1" thickTop="1">
      <c r="B12" s="331"/>
      <c r="C12" s="130"/>
      <c r="D12" s="331"/>
      <c r="E12" s="130"/>
      <c r="F12" s="331"/>
      <c r="G12" s="129"/>
      <c r="H12" s="128"/>
    </row>
    <row r="13" spans="1:11" ht="21" customHeight="1">
      <c r="B13" s="129"/>
      <c r="C13" s="130"/>
      <c r="D13" s="129"/>
      <c r="E13" s="130"/>
      <c r="F13" s="129"/>
      <c r="G13" s="129"/>
      <c r="H13" s="128"/>
    </row>
    <row r="14" spans="1:11" ht="24" customHeight="1">
      <c r="A14" s="122" t="s">
        <v>44</v>
      </c>
      <c r="B14" s="103" t="s">
        <v>52</v>
      </c>
      <c r="H14" s="128"/>
    </row>
    <row r="15" spans="1:11">
      <c r="B15" s="129" t="s">
        <v>0</v>
      </c>
      <c r="C15" s="130"/>
      <c r="D15" s="129" t="s">
        <v>43</v>
      </c>
      <c r="E15" s="130"/>
      <c r="F15" s="129" t="s">
        <v>6</v>
      </c>
      <c r="G15" s="129"/>
      <c r="H15" s="128"/>
    </row>
    <row r="16" spans="1:11" s="6" customFormat="1" ht="19.5" customHeight="1">
      <c r="B16" s="232"/>
      <c r="C16" s="180"/>
      <c r="D16" s="253"/>
      <c r="E16" s="180"/>
      <c r="F16" s="116"/>
      <c r="G16" s="224"/>
      <c r="H16" s="176"/>
    </row>
    <row r="17" spans="1:13" s="6" customFormat="1" ht="19.5" customHeight="1">
      <c r="B17" s="379" t="s">
        <v>431</v>
      </c>
      <c r="C17" s="180"/>
      <c r="D17" s="253" t="s">
        <v>432</v>
      </c>
      <c r="E17" s="180"/>
      <c r="F17" s="116">
        <v>20000</v>
      </c>
      <c r="G17" s="224" t="s">
        <v>15</v>
      </c>
      <c r="H17" s="176"/>
    </row>
    <row r="18" spans="1:13" s="6" customFormat="1" ht="21.75" customHeight="1">
      <c r="B18" s="379" t="s">
        <v>436</v>
      </c>
      <c r="C18" s="180"/>
      <c r="D18" s="253" t="s">
        <v>433</v>
      </c>
      <c r="E18" s="180"/>
      <c r="F18" s="116">
        <v>20000</v>
      </c>
      <c r="G18" s="224" t="s">
        <v>15</v>
      </c>
      <c r="H18" s="176"/>
      <c r="I18" s="219"/>
      <c r="J18" s="224"/>
    </row>
    <row r="19" spans="1:13" s="6" customFormat="1" ht="21.75" customHeight="1">
      <c r="B19" s="379" t="s">
        <v>436</v>
      </c>
      <c r="C19" s="180"/>
      <c r="D19" s="253" t="s">
        <v>434</v>
      </c>
      <c r="E19" s="180"/>
      <c r="F19" s="116">
        <v>20000</v>
      </c>
      <c r="G19" s="224" t="s">
        <v>15</v>
      </c>
      <c r="H19" s="176"/>
      <c r="I19" s="219"/>
      <c r="J19" s="224"/>
    </row>
    <row r="20" spans="1:13" s="6" customFormat="1" ht="21.75" customHeight="1">
      <c r="B20" s="379" t="s">
        <v>436</v>
      </c>
      <c r="C20" s="180"/>
      <c r="D20" s="253" t="s">
        <v>435</v>
      </c>
      <c r="E20" s="180"/>
      <c r="F20" s="116">
        <v>20000</v>
      </c>
      <c r="G20" s="224" t="s">
        <v>15</v>
      </c>
      <c r="H20" s="176"/>
      <c r="I20" s="219"/>
      <c r="J20" s="224"/>
    </row>
    <row r="21" spans="1:13" s="6" customFormat="1" ht="21.75" customHeight="1">
      <c r="B21" s="379"/>
      <c r="C21" s="180"/>
      <c r="D21" s="253"/>
      <c r="E21" s="180"/>
      <c r="F21" s="116"/>
      <c r="G21" s="224"/>
      <c r="H21" s="176"/>
      <c r="I21" s="219"/>
      <c r="J21" s="224"/>
    </row>
    <row r="22" spans="1:13" s="6" customFormat="1" ht="21.75" customHeight="1">
      <c r="B22" s="379"/>
      <c r="C22" s="180"/>
      <c r="D22" s="253"/>
      <c r="E22" s="180"/>
      <c r="F22" s="116"/>
      <c r="G22" s="224"/>
      <c r="H22" s="176"/>
      <c r="I22" s="219"/>
      <c r="J22" s="224"/>
    </row>
    <row r="23" spans="1:13" s="6" customFormat="1" ht="21.75" customHeight="1" thickBot="1">
      <c r="B23" s="379"/>
      <c r="C23" s="180"/>
      <c r="D23" s="253"/>
      <c r="E23" s="180"/>
      <c r="F23" s="116"/>
      <c r="G23" s="224"/>
      <c r="H23" s="176"/>
      <c r="I23" s="359">
        <f>SUM(F17:F20)</f>
        <v>80000</v>
      </c>
      <c r="J23" s="224" t="s">
        <v>15</v>
      </c>
    </row>
    <row r="24" spans="1:13" s="6" customFormat="1" ht="21.75" customHeight="1" thickTop="1">
      <c r="B24" s="379"/>
      <c r="C24" s="180"/>
      <c r="D24" s="253"/>
      <c r="E24" s="180"/>
      <c r="F24" s="116"/>
      <c r="G24" s="224"/>
      <c r="H24" s="176"/>
      <c r="I24" s="219"/>
      <c r="J24" s="224"/>
    </row>
    <row r="25" spans="1:13" s="6" customFormat="1" ht="21.75" customHeight="1">
      <c r="B25" s="379"/>
      <c r="C25" s="180"/>
      <c r="D25" s="253"/>
      <c r="E25" s="180"/>
      <c r="F25" s="116"/>
      <c r="G25" s="224"/>
      <c r="H25" s="176"/>
      <c r="I25" s="219"/>
      <c r="J25" s="224"/>
    </row>
    <row r="26" spans="1:13" s="6" customFormat="1" ht="21.75" customHeight="1">
      <c r="B26" s="379"/>
      <c r="C26" s="180"/>
      <c r="D26" s="253"/>
      <c r="E26" s="180"/>
      <c r="F26" s="116"/>
      <c r="G26" s="224"/>
      <c r="H26" s="176"/>
      <c r="I26" s="219"/>
      <c r="J26" s="224"/>
    </row>
    <row r="27" spans="1:13" ht="24" customHeight="1">
      <c r="A27" s="122" t="s">
        <v>40</v>
      </c>
      <c r="B27" s="103" t="s">
        <v>45</v>
      </c>
      <c r="H27" s="128"/>
      <c r="I27" s="105"/>
    </row>
    <row r="28" spans="1:13" ht="18.75" customHeight="1">
      <c r="B28" s="129" t="s">
        <v>46</v>
      </c>
      <c r="C28" s="130"/>
      <c r="F28" s="130"/>
      <c r="G28" s="130"/>
      <c r="H28" s="128"/>
    </row>
    <row r="29" spans="1:13" ht="18.75" customHeight="1">
      <c r="B29" s="136"/>
      <c r="C29" s="130"/>
      <c r="D29" s="502"/>
      <c r="F29" s="116"/>
      <c r="G29" s="130"/>
      <c r="H29" s="128"/>
    </row>
    <row r="30" spans="1:13" ht="21" customHeight="1">
      <c r="B30" s="131"/>
      <c r="C30" s="105"/>
      <c r="D30" s="131"/>
      <c r="E30" s="105"/>
      <c r="F30" s="131"/>
      <c r="G30" s="119"/>
      <c r="H30" s="128"/>
      <c r="I30" s="123"/>
    </row>
    <row r="31" spans="1:13" ht="21" customHeight="1">
      <c r="B31" s="131"/>
      <c r="C31" s="357"/>
      <c r="D31" s="131"/>
      <c r="E31" s="357"/>
      <c r="F31" s="131"/>
      <c r="G31" s="119"/>
      <c r="H31" s="128"/>
      <c r="I31" s="119"/>
      <c r="L31" s="119"/>
    </row>
    <row r="32" spans="1:13" ht="26.25" customHeight="1" thickBot="1">
      <c r="A32" s="103" t="s">
        <v>166</v>
      </c>
      <c r="F32" s="132" t="str">
        <f>F5</f>
        <v xml:space="preserve">   31    กรกฎาคม   2561</v>
      </c>
      <c r="H32" s="128"/>
      <c r="I32" s="355">
        <f>I5+I11-I23-I18</f>
        <v>4291406.42</v>
      </c>
      <c r="J32" s="130" t="s">
        <v>53</v>
      </c>
      <c r="K32" s="103" t="s">
        <v>241</v>
      </c>
      <c r="M32" s="351"/>
    </row>
    <row r="33" spans="1:13" ht="15" customHeight="1" thickTop="1">
      <c r="A33" s="133"/>
      <c r="B33" s="133"/>
      <c r="C33" s="133"/>
      <c r="D33" s="133"/>
      <c r="E33" s="133"/>
      <c r="F33" s="141"/>
      <c r="G33" s="133"/>
      <c r="H33" s="134"/>
      <c r="I33" s="142"/>
      <c r="J33" s="124"/>
    </row>
    <row r="34" spans="1:13" ht="22.5" customHeight="1">
      <c r="A34" s="103" t="s">
        <v>35</v>
      </c>
      <c r="E34" s="128"/>
      <c r="F34" s="103" t="s">
        <v>47</v>
      </c>
      <c r="I34" s="119"/>
      <c r="M34" s="278"/>
    </row>
    <row r="35" spans="1:13" ht="22.5" customHeight="1">
      <c r="E35" s="128"/>
      <c r="I35" s="343"/>
      <c r="K35" s="119"/>
    </row>
    <row r="36" spans="1:13" ht="22.5" customHeight="1">
      <c r="B36" s="587" t="s">
        <v>48</v>
      </c>
      <c r="C36" s="587"/>
      <c r="D36" s="587"/>
      <c r="E36" s="128"/>
      <c r="F36" s="525" t="s">
        <v>54</v>
      </c>
      <c r="G36" s="525"/>
      <c r="H36" s="525"/>
      <c r="I36" s="525"/>
    </row>
    <row r="37" spans="1:13" ht="22.5" customHeight="1">
      <c r="B37" s="525" t="s">
        <v>156</v>
      </c>
      <c r="C37" s="525"/>
      <c r="D37" s="525"/>
      <c r="E37" s="128"/>
      <c r="F37" s="525" t="s">
        <v>230</v>
      </c>
      <c r="G37" s="525"/>
      <c r="H37" s="525"/>
      <c r="I37" s="525"/>
      <c r="K37" s="343"/>
    </row>
    <row r="38" spans="1:13" ht="22.5" customHeight="1">
      <c r="B38" s="525" t="s">
        <v>268</v>
      </c>
      <c r="C38" s="525"/>
      <c r="D38" s="525"/>
      <c r="E38" s="128"/>
      <c r="F38" s="525" t="s">
        <v>274</v>
      </c>
      <c r="G38" s="525"/>
      <c r="H38" s="525"/>
      <c r="I38" s="525"/>
    </row>
    <row r="39" spans="1:13" ht="22.5" customHeight="1">
      <c r="B39" s="130"/>
      <c r="C39" s="130"/>
      <c r="D39" s="130"/>
      <c r="E39" s="128"/>
      <c r="F39" s="130"/>
      <c r="G39" s="130"/>
      <c r="H39" s="130"/>
      <c r="I39" s="130"/>
    </row>
    <row r="40" spans="1:13" ht="22.5" customHeight="1">
      <c r="B40" s="130"/>
      <c r="C40" s="130"/>
      <c r="D40" s="130"/>
      <c r="E40" s="128"/>
      <c r="F40" s="130"/>
      <c r="G40" s="130"/>
      <c r="H40" s="130"/>
      <c r="I40" s="130"/>
    </row>
    <row r="41" spans="1:13" s="137" customFormat="1" ht="26.25" customHeight="1">
      <c r="A41" s="137" t="s">
        <v>49</v>
      </c>
      <c r="E41" s="138"/>
      <c r="F41" s="137" t="s">
        <v>158</v>
      </c>
    </row>
    <row r="42" spans="1:13" s="137" customFormat="1" ht="12" customHeight="1">
      <c r="E42" s="138"/>
    </row>
    <row r="43" spans="1:13" s="137" customFormat="1" ht="24" customHeight="1">
      <c r="A43" s="137" t="s">
        <v>39</v>
      </c>
      <c r="E43" s="138"/>
      <c r="F43" s="137" t="s">
        <v>50</v>
      </c>
      <c r="G43" s="137" t="s">
        <v>152</v>
      </c>
    </row>
    <row r="44" spans="1:13" s="5" customFormat="1" ht="12.75" customHeight="1">
      <c r="A44" s="139"/>
      <c r="B44" s="139"/>
      <c r="C44" s="139"/>
      <c r="D44" s="139"/>
      <c r="E44" s="140"/>
      <c r="F44" s="139"/>
      <c r="G44" s="139"/>
      <c r="H44" s="139"/>
      <c r="I44" s="139"/>
      <c r="J44" s="9"/>
    </row>
    <row r="45" spans="1:13" s="105" customFormat="1" ht="30" customHeight="1">
      <c r="A45" s="105" t="s">
        <v>75</v>
      </c>
      <c r="F45" s="126" t="s">
        <v>437</v>
      </c>
      <c r="H45" s="127"/>
      <c r="I45" s="135">
        <v>8394811.8200000003</v>
      </c>
      <c r="J45" s="121" t="s">
        <v>15</v>
      </c>
      <c r="K45" s="105" t="s">
        <v>240</v>
      </c>
    </row>
    <row r="46" spans="1:13" ht="22.5" customHeight="1">
      <c r="A46" s="122" t="s">
        <v>40</v>
      </c>
      <c r="B46" s="103" t="s">
        <v>41</v>
      </c>
      <c r="H46" s="128"/>
    </row>
    <row r="47" spans="1:13" ht="22.5" customHeight="1">
      <c r="B47" s="129" t="s">
        <v>42</v>
      </c>
      <c r="C47" s="130"/>
      <c r="D47" s="129" t="s">
        <v>51</v>
      </c>
      <c r="E47" s="130"/>
      <c r="F47" s="129" t="s">
        <v>6</v>
      </c>
      <c r="G47" s="129"/>
      <c r="H47" s="128"/>
    </row>
    <row r="48" spans="1:13" ht="19.5" customHeight="1">
      <c r="B48" s="129"/>
      <c r="C48" s="130"/>
      <c r="D48" s="129"/>
      <c r="E48" s="130"/>
      <c r="F48" s="129"/>
      <c r="G48" s="129"/>
      <c r="H48" s="128"/>
    </row>
    <row r="49" spans="1:13" ht="19.5" customHeight="1">
      <c r="B49" s="331"/>
      <c r="C49" s="130"/>
      <c r="D49" s="331"/>
      <c r="E49" s="130"/>
      <c r="F49" s="331"/>
      <c r="G49" s="129"/>
      <c r="H49" s="128"/>
    </row>
    <row r="50" spans="1:13" ht="19.5" customHeight="1">
      <c r="B50" s="129"/>
      <c r="C50" s="130"/>
      <c r="D50" s="129"/>
      <c r="E50" s="130"/>
      <c r="F50" s="129"/>
      <c r="G50" s="129"/>
      <c r="H50" s="128"/>
      <c r="M50" s="343" t="e">
        <f>SUM(#REF!)</f>
        <v>#REF!</v>
      </c>
    </row>
    <row r="51" spans="1:13" ht="22.5" customHeight="1" thickBot="1">
      <c r="B51" s="136"/>
      <c r="C51" s="121"/>
      <c r="D51" s="136"/>
      <c r="E51" s="130"/>
      <c r="F51" s="320"/>
      <c r="G51" s="130"/>
      <c r="H51" s="100"/>
      <c r="I51" s="355">
        <v>0</v>
      </c>
    </row>
    <row r="52" spans="1:13" ht="21" customHeight="1" thickTop="1">
      <c r="A52" s="122" t="s">
        <v>44</v>
      </c>
      <c r="B52" s="103" t="s">
        <v>52</v>
      </c>
      <c r="H52" s="128"/>
    </row>
    <row r="53" spans="1:13" s="6" customFormat="1" ht="21" customHeight="1">
      <c r="B53" s="325" t="s">
        <v>0</v>
      </c>
      <c r="C53" s="7"/>
      <c r="D53" s="325" t="s">
        <v>43</v>
      </c>
      <c r="E53" s="7"/>
      <c r="F53" s="325" t="s">
        <v>6</v>
      </c>
      <c r="G53" s="325"/>
      <c r="H53" s="176"/>
    </row>
    <row r="54" spans="1:13" s="6" customFormat="1" ht="21" customHeight="1">
      <c r="B54" s="379"/>
      <c r="C54" s="7"/>
      <c r="D54" s="7"/>
      <c r="E54" s="7"/>
      <c r="F54" s="332"/>
      <c r="G54" s="7"/>
      <c r="H54" s="176"/>
    </row>
    <row r="55" spans="1:13" s="6" customFormat="1" ht="24" customHeight="1">
      <c r="B55" s="253" t="s">
        <v>439</v>
      </c>
      <c r="C55" s="180"/>
      <c r="D55" s="326" t="s">
        <v>440</v>
      </c>
      <c r="E55" s="180"/>
      <c r="F55" s="116">
        <v>450</v>
      </c>
      <c r="G55" s="7" t="s">
        <v>15</v>
      </c>
      <c r="H55" s="176"/>
      <c r="I55" s="327"/>
      <c r="J55" s="7"/>
    </row>
    <row r="56" spans="1:13" s="6" customFormat="1" ht="24" customHeight="1">
      <c r="B56" s="253" t="s">
        <v>412</v>
      </c>
      <c r="C56" s="180"/>
      <c r="D56" s="326" t="s">
        <v>441</v>
      </c>
      <c r="E56" s="180"/>
      <c r="F56" s="116">
        <v>1000</v>
      </c>
      <c r="G56" s="7" t="s">
        <v>15</v>
      </c>
      <c r="H56" s="176"/>
      <c r="I56" s="327"/>
      <c r="J56" s="7"/>
    </row>
    <row r="57" spans="1:13" s="6" customFormat="1" ht="24" customHeight="1">
      <c r="B57" s="379"/>
      <c r="C57" s="180"/>
      <c r="D57" s="326"/>
      <c r="E57" s="180"/>
      <c r="F57" s="116"/>
      <c r="G57" s="7"/>
      <c r="H57" s="176"/>
      <c r="I57" s="327"/>
      <c r="J57" s="7"/>
    </row>
    <row r="58" spans="1:13" s="6" customFormat="1" ht="24" customHeight="1">
      <c r="B58" s="379"/>
      <c r="C58" s="180"/>
      <c r="D58" s="326"/>
      <c r="E58" s="180"/>
      <c r="F58" s="116"/>
      <c r="G58" s="7"/>
      <c r="H58" s="176"/>
      <c r="I58" s="327"/>
      <c r="J58" s="7"/>
    </row>
    <row r="59" spans="1:13" s="6" customFormat="1" ht="21" customHeight="1" thickBot="1">
      <c r="B59" s="379"/>
      <c r="C59" s="180"/>
      <c r="D59" s="326"/>
      <c r="E59" s="180"/>
      <c r="F59" s="116"/>
      <c r="G59" s="7"/>
      <c r="H59" s="176"/>
      <c r="I59" s="375">
        <f>SUM(F54:F57)</f>
        <v>1450</v>
      </c>
      <c r="J59" s="7" t="s">
        <v>15</v>
      </c>
      <c r="K59" s="197"/>
      <c r="L59" s="172"/>
    </row>
    <row r="60" spans="1:13" ht="21" customHeight="1" thickTop="1">
      <c r="A60" s="122" t="s">
        <v>40</v>
      </c>
      <c r="B60" s="103" t="s">
        <v>45</v>
      </c>
      <c r="H60" s="128"/>
      <c r="I60" s="278"/>
    </row>
    <row r="61" spans="1:13" ht="21" customHeight="1">
      <c r="B61" s="129" t="s">
        <v>42</v>
      </c>
      <c r="C61" s="130"/>
      <c r="D61" s="129" t="s">
        <v>51</v>
      </c>
      <c r="E61" s="130"/>
      <c r="F61" s="129" t="s">
        <v>6</v>
      </c>
      <c r="G61" s="130"/>
      <c r="H61" s="128"/>
      <c r="L61" s="343">
        <v>0</v>
      </c>
    </row>
    <row r="62" spans="1:13" ht="20.25" customHeight="1">
      <c r="B62" s="131" t="s">
        <v>413</v>
      </c>
      <c r="C62" s="346"/>
      <c r="D62" s="253" t="s">
        <v>438</v>
      </c>
      <c r="E62" s="346"/>
      <c r="F62" s="119">
        <v>87.3</v>
      </c>
      <c r="G62" s="7" t="s">
        <v>15</v>
      </c>
      <c r="H62" s="128"/>
      <c r="I62" s="343"/>
      <c r="L62" s="343"/>
    </row>
    <row r="63" spans="1:13" ht="20.25" customHeight="1">
      <c r="B63" s="131"/>
      <c r="C63" s="346"/>
      <c r="D63" s="253"/>
      <c r="F63" s="376"/>
      <c r="G63" s="7"/>
      <c r="H63" s="128"/>
      <c r="I63" s="343"/>
    </row>
    <row r="64" spans="1:13" ht="20.25" customHeight="1">
      <c r="A64" s="105"/>
      <c r="B64" s="131"/>
      <c r="C64" s="346"/>
      <c r="D64" s="253"/>
      <c r="E64" s="121"/>
      <c r="F64" s="394"/>
      <c r="G64" s="7"/>
      <c r="H64" s="128"/>
      <c r="I64" s="404"/>
      <c r="K64" s="343"/>
      <c r="L64" s="119"/>
      <c r="M64" s="119"/>
    </row>
    <row r="65" spans="1:13" ht="20.25" customHeight="1">
      <c r="A65" s="105"/>
      <c r="B65" s="136"/>
      <c r="C65" s="346"/>
      <c r="D65" s="253"/>
      <c r="E65" s="121"/>
      <c r="F65" s="320"/>
      <c r="G65" s="7"/>
      <c r="H65" s="128"/>
      <c r="I65" s="404"/>
      <c r="L65" s="119"/>
      <c r="M65" s="119"/>
    </row>
    <row r="66" spans="1:13" ht="20.25" customHeight="1">
      <c r="A66" s="105"/>
      <c r="B66" s="478"/>
      <c r="C66" s="346"/>
      <c r="D66" s="115"/>
      <c r="E66" s="121"/>
      <c r="F66" s="394"/>
      <c r="G66" s="7"/>
      <c r="H66" s="128"/>
      <c r="I66" s="403">
        <f>F62+F63+F64+F65</f>
        <v>87.3</v>
      </c>
      <c r="L66" s="343"/>
      <c r="M66" s="119"/>
    </row>
    <row r="67" spans="1:13" ht="22.5" customHeight="1" thickBot="1">
      <c r="A67" s="103" t="s">
        <v>74</v>
      </c>
      <c r="F67" s="126" t="s">
        <v>442</v>
      </c>
      <c r="H67" s="128"/>
      <c r="I67" s="429">
        <f>I45+I51-I59-I66</f>
        <v>8393274.5199999996</v>
      </c>
      <c r="J67" s="130" t="s">
        <v>53</v>
      </c>
      <c r="K67" s="103" t="s">
        <v>241</v>
      </c>
      <c r="M67" s="119"/>
    </row>
    <row r="68" spans="1:13" ht="22.5" customHeight="1" thickTop="1">
      <c r="A68" s="133" t="s">
        <v>7</v>
      </c>
      <c r="B68" s="133"/>
      <c r="C68" s="133"/>
      <c r="D68" s="133"/>
      <c r="E68" s="133"/>
      <c r="F68" s="133"/>
      <c r="G68" s="133"/>
      <c r="H68" s="134"/>
      <c r="I68" s="133"/>
      <c r="J68" s="133"/>
      <c r="K68" s="119">
        <v>0</v>
      </c>
      <c r="L68" s="343"/>
      <c r="M68" s="278"/>
    </row>
    <row r="69" spans="1:13" ht="22.5" customHeight="1">
      <c r="A69" s="103" t="s">
        <v>35</v>
      </c>
      <c r="E69" s="127"/>
      <c r="F69" s="103" t="s">
        <v>47</v>
      </c>
      <c r="K69" s="343"/>
    </row>
    <row r="70" spans="1:13" ht="22.5" customHeight="1">
      <c r="B70" s="587" t="s">
        <v>48</v>
      </c>
      <c r="C70" s="587"/>
      <c r="D70" s="587"/>
      <c r="E70" s="128"/>
      <c r="F70" s="525" t="s">
        <v>54</v>
      </c>
      <c r="G70" s="525"/>
      <c r="H70" s="525"/>
      <c r="I70" s="525"/>
      <c r="K70" s="343"/>
      <c r="M70" s="278"/>
    </row>
    <row r="71" spans="1:13" ht="22.5" customHeight="1">
      <c r="B71" s="525" t="s">
        <v>156</v>
      </c>
      <c r="C71" s="525"/>
      <c r="D71" s="525"/>
      <c r="E71" s="128"/>
      <c r="F71" s="525" t="s">
        <v>230</v>
      </c>
      <c r="G71" s="525"/>
      <c r="H71" s="525"/>
      <c r="I71" s="525"/>
      <c r="K71" s="343"/>
    </row>
    <row r="72" spans="1:13" ht="22.5" customHeight="1">
      <c r="B72" s="525" t="s">
        <v>268</v>
      </c>
      <c r="C72" s="525"/>
      <c r="D72" s="525"/>
      <c r="E72" s="128"/>
      <c r="F72" s="525" t="s">
        <v>274</v>
      </c>
      <c r="G72" s="525"/>
      <c r="H72" s="525"/>
      <c r="I72" s="525"/>
    </row>
    <row r="73" spans="1:13" ht="22.5" customHeight="1">
      <c r="B73" s="130"/>
      <c r="C73" s="130"/>
      <c r="D73" s="121"/>
      <c r="E73" s="105"/>
    </row>
    <row r="74" spans="1:13">
      <c r="B74" s="130"/>
      <c r="C74" s="130"/>
      <c r="D74" s="130"/>
      <c r="E74" s="130"/>
      <c r="F74" s="130"/>
      <c r="G74" s="130"/>
      <c r="H74" s="130"/>
      <c r="I74" s="130"/>
    </row>
  </sheetData>
  <mergeCells count="12">
    <mergeCell ref="B36:D36"/>
    <mergeCell ref="B37:D37"/>
    <mergeCell ref="F36:I36"/>
    <mergeCell ref="F37:I37"/>
    <mergeCell ref="F38:I38"/>
    <mergeCell ref="B72:D72"/>
    <mergeCell ref="F71:I71"/>
    <mergeCell ref="B38:D38"/>
    <mergeCell ref="B70:D70"/>
    <mergeCell ref="F70:I70"/>
    <mergeCell ref="F72:I72"/>
    <mergeCell ref="B71:D71"/>
  </mergeCells>
  <phoneticPr fontId="0" type="noConversion"/>
  <pageMargins left="0.76" right="0.27" top="0.3" bottom="0.26" header="0.16" footer="0.15"/>
  <pageSetup paperSize="9" orientation="portrait" horizontalDpi="180" verticalDpi="18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N69"/>
  <sheetViews>
    <sheetView tabSelected="1" topLeftCell="A25" zoomScaleNormal="100" workbookViewId="0">
      <selection activeCell="H39" sqref="H39"/>
    </sheetView>
  </sheetViews>
  <sheetFormatPr defaultRowHeight="21"/>
  <cols>
    <col min="1" max="1" width="5.5703125" style="6" customWidth="1"/>
    <col min="2" max="3" width="9.140625" style="6"/>
    <col min="4" max="4" width="32.42578125" style="6" customWidth="1"/>
    <col min="5" max="5" width="14.42578125" style="172" customWidth="1"/>
    <col min="6" max="6" width="11.5703125" style="172" customWidth="1"/>
    <col min="7" max="7" width="17.7109375" style="172" customWidth="1"/>
    <col min="8" max="8" width="12.5703125" style="172" customWidth="1"/>
    <col min="9" max="9" width="12.7109375" style="205" bestFit="1" customWidth="1"/>
    <col min="10" max="10" width="13" style="6" customWidth="1"/>
    <col min="11" max="11" width="9.85546875" style="6" bestFit="1" customWidth="1"/>
    <col min="12" max="16384" width="9.140625" style="6"/>
  </cols>
  <sheetData>
    <row r="1" spans="1:14" s="122" customFormat="1" ht="20.25" customHeight="1">
      <c r="A1" s="589" t="s">
        <v>76</v>
      </c>
      <c r="B1" s="589"/>
      <c r="C1" s="589"/>
      <c r="D1" s="589"/>
      <c r="E1" s="589"/>
      <c r="F1" s="589"/>
      <c r="G1" s="589"/>
      <c r="H1" s="229"/>
      <c r="I1" s="218"/>
    </row>
    <row r="2" spans="1:14" s="122" customFormat="1" ht="20.25" customHeight="1">
      <c r="A2" s="589" t="s">
        <v>116</v>
      </c>
      <c r="B2" s="589"/>
      <c r="C2" s="589"/>
      <c r="D2" s="589"/>
      <c r="E2" s="589"/>
      <c r="F2" s="589"/>
      <c r="G2" s="589"/>
      <c r="H2" s="229"/>
      <c r="I2" s="218"/>
    </row>
    <row r="3" spans="1:14" s="122" customFormat="1" ht="20.25" customHeight="1">
      <c r="A3" s="590" t="s">
        <v>421</v>
      </c>
      <c r="B3" s="589"/>
      <c r="C3" s="589"/>
      <c r="D3" s="589"/>
      <c r="E3" s="589"/>
      <c r="F3" s="589"/>
      <c r="G3" s="589"/>
      <c r="H3" s="229"/>
      <c r="I3" s="201" t="s">
        <v>250</v>
      </c>
      <c r="J3" s="6"/>
      <c r="K3" s="6"/>
      <c r="L3" s="6"/>
      <c r="M3" s="6"/>
      <c r="N3" s="6"/>
    </row>
    <row r="4" spans="1:14" ht="20.25" customHeight="1"/>
    <row r="5" spans="1:14" s="174" customFormat="1" ht="20.25" customHeight="1">
      <c r="A5" s="174" t="s">
        <v>117</v>
      </c>
      <c r="E5" s="206" t="s">
        <v>11</v>
      </c>
      <c r="F5" s="206"/>
      <c r="G5" s="206" t="s">
        <v>118</v>
      </c>
      <c r="H5" s="206"/>
      <c r="I5" s="207"/>
    </row>
    <row r="6" spans="1:14" ht="20.25" customHeight="1">
      <c r="B6" s="6" t="s">
        <v>173</v>
      </c>
      <c r="E6" s="172">
        <f>'รับ-จ่ายเงินสด   '!H11+'รับ-จ่ายเงินสด   '!H12+'รับ-จ่ายเงินสด   '!H13+'รับ-จ่ายเงินสด   '!H14</f>
        <v>136970.12</v>
      </c>
      <c r="G6" s="172">
        <f>'รับ-จ่ายเงินสด   '!D11+'รับ-จ่ายเงินสด   '!D12+'รับ-จ่ายเงินสด   '!D13+'รับ-จ่ายเงินสด   '!D14</f>
        <v>1871083.73</v>
      </c>
      <c r="H6" s="172">
        <f>G6+G7</f>
        <v>28190159.32</v>
      </c>
      <c r="I6" s="201">
        <f>E6+E7</f>
        <v>5191383.41</v>
      </c>
    </row>
    <row r="7" spans="1:14" ht="20.25" customHeight="1">
      <c r="B7" s="6" t="s">
        <v>174</v>
      </c>
      <c r="E7" s="314">
        <f>'รับ-จ่ายเงินสด   '!H15</f>
        <v>5054413.29</v>
      </c>
      <c r="G7" s="172">
        <f>'รับ-จ่ายเงินสด   '!D15</f>
        <v>26319075.59</v>
      </c>
      <c r="I7" s="201"/>
    </row>
    <row r="8" spans="1:14" ht="20.25" customHeight="1">
      <c r="B8" s="6" t="s">
        <v>119</v>
      </c>
      <c r="E8" s="314">
        <f>'รับ-จ่ายเงินสด   '!H16</f>
        <v>4233532</v>
      </c>
      <c r="G8" s="172">
        <f>'รับ-จ่ายเงินสด   '!D16</f>
        <v>21513703</v>
      </c>
      <c r="I8" s="201"/>
    </row>
    <row r="9" spans="1:14" ht="20.25" customHeight="1">
      <c r="B9" s="6" t="s">
        <v>245</v>
      </c>
      <c r="E9" s="314">
        <f>'รับ-จ่ายเงินสด   '!H18</f>
        <v>111533.64</v>
      </c>
      <c r="G9" s="172">
        <f>'รับ-จ่ายเงินสด   '!D18</f>
        <v>2308439.42</v>
      </c>
      <c r="I9" s="201">
        <v>0</v>
      </c>
      <c r="J9" s="172"/>
      <c r="K9" s="172"/>
    </row>
    <row r="10" spans="1:14" ht="20.25" customHeight="1">
      <c r="B10" s="6" t="s">
        <v>226</v>
      </c>
      <c r="E10" s="314">
        <v>0</v>
      </c>
      <c r="G10" s="172">
        <v>34510</v>
      </c>
      <c r="I10" s="201"/>
      <c r="J10" s="172"/>
      <c r="K10" s="172"/>
    </row>
    <row r="11" spans="1:14" ht="20.25" customHeight="1">
      <c r="B11" s="6" t="s">
        <v>229</v>
      </c>
      <c r="E11" s="172">
        <f>'รับ-จ่ายเงินสด   '!H19</f>
        <v>238.51999999999998</v>
      </c>
      <c r="G11" s="172">
        <f>'รับ-จ่ายเงินสด   '!D19</f>
        <v>6744.42</v>
      </c>
      <c r="I11" s="201"/>
    </row>
    <row r="12" spans="1:14" ht="20.25" customHeight="1">
      <c r="B12" s="6" t="s">
        <v>228</v>
      </c>
      <c r="E12" s="172">
        <v>0</v>
      </c>
      <c r="G12" s="172">
        <v>43610</v>
      </c>
      <c r="I12" s="201"/>
    </row>
    <row r="13" spans="1:14" ht="20.25" customHeight="1">
      <c r="B13" s="6" t="s">
        <v>401</v>
      </c>
      <c r="E13" s="172">
        <f>'รับ-จ่ายเงินสด   '!H26</f>
        <v>0</v>
      </c>
      <c r="G13" s="172">
        <f>'รับ-จ่ายเงินสด   '!D26</f>
        <v>58000</v>
      </c>
      <c r="I13" s="201"/>
    </row>
    <row r="14" spans="1:14" ht="20.25" customHeight="1">
      <c r="B14" s="6" t="s">
        <v>302</v>
      </c>
      <c r="E14" s="172">
        <f>'รับ-จ่ายเงินสด   '!H25</f>
        <v>722800</v>
      </c>
      <c r="G14" s="172">
        <f>'รับ-จ่ายเงินสด   '!D25</f>
        <v>4403208</v>
      </c>
      <c r="I14" s="201"/>
    </row>
    <row r="15" spans="1:14" ht="20.25" customHeight="1">
      <c r="B15" s="6" t="s">
        <v>396</v>
      </c>
      <c r="E15" s="172">
        <f>'รับ-จ่ายเงินสด   '!H22</f>
        <v>600</v>
      </c>
      <c r="G15" s="172">
        <f>'รับ-จ่ายเงินสด   '!D22</f>
        <v>3700</v>
      </c>
      <c r="I15" s="201"/>
    </row>
    <row r="16" spans="1:14" ht="20.25" customHeight="1">
      <c r="B16" s="6" t="s">
        <v>395</v>
      </c>
      <c r="E16" s="172">
        <f>'รับ-จ่ายเงินสด   '!H23</f>
        <v>668</v>
      </c>
      <c r="G16" s="172">
        <f>'รับ-จ่ายเงินสด   '!D23</f>
        <v>2617</v>
      </c>
      <c r="I16" s="201"/>
    </row>
    <row r="17" spans="1:10" ht="20.25" customHeight="1">
      <c r="B17" s="6" t="s">
        <v>427</v>
      </c>
      <c r="E17" s="172">
        <f>'รับ-จ่ายเงินสด   '!D24</f>
        <v>240000</v>
      </c>
      <c r="G17" s="172">
        <f>E17</f>
        <v>240000</v>
      </c>
      <c r="I17" s="201"/>
    </row>
    <row r="18" spans="1:10" ht="20.25" customHeight="1">
      <c r="B18" s="6" t="s">
        <v>32</v>
      </c>
      <c r="E18" s="172">
        <f>'รับ-จ่ายเงินสด   '!H17</f>
        <v>0</v>
      </c>
      <c r="G18" s="172">
        <f>'รับ-จ่ายเงินสด   '!D17</f>
        <v>53952.85</v>
      </c>
      <c r="I18" s="201"/>
    </row>
    <row r="19" spans="1:10" ht="20.25" customHeight="1">
      <c r="G19" s="401"/>
      <c r="I19" s="201"/>
    </row>
    <row r="20" spans="1:10" ht="20.25" customHeight="1" thickBot="1">
      <c r="B20" s="588" t="s">
        <v>73</v>
      </c>
      <c r="C20" s="588"/>
      <c r="E20" s="208">
        <f>SUM(E6:E18)</f>
        <v>10500755.57</v>
      </c>
      <c r="G20" s="208">
        <f>SUM(G6:G19)</f>
        <v>56858644.010000005</v>
      </c>
      <c r="H20" s="211">
        <f>SUM(H6:H12)</f>
        <v>28190159.32</v>
      </c>
      <c r="I20" s="201"/>
      <c r="J20" s="172">
        <v>42025096.859999999</v>
      </c>
    </row>
    <row r="21" spans="1:10" ht="20.25" customHeight="1" thickTop="1">
      <c r="B21" s="462"/>
      <c r="C21" s="462"/>
      <c r="E21" s="211"/>
      <c r="G21" s="211"/>
      <c r="H21" s="211"/>
      <c r="I21" s="201"/>
      <c r="J21" s="172"/>
    </row>
    <row r="22" spans="1:10" ht="20.25" customHeight="1">
      <c r="B22" s="462"/>
      <c r="C22" s="462"/>
      <c r="D22" s="197">
        <v>0</v>
      </c>
      <c r="E22" s="211">
        <v>0</v>
      </c>
      <c r="G22" s="211"/>
      <c r="H22" s="211"/>
      <c r="I22" s="201"/>
      <c r="J22" s="172"/>
    </row>
    <row r="23" spans="1:10" ht="20.25" customHeight="1">
      <c r="A23" s="174" t="s">
        <v>25</v>
      </c>
      <c r="G23" s="172" t="s">
        <v>7</v>
      </c>
      <c r="H23" s="332"/>
    </row>
    <row r="24" spans="1:10" ht="20.25" customHeight="1">
      <c r="B24" s="6" t="s">
        <v>246</v>
      </c>
      <c r="E24" s="172">
        <f>'รับ-จ่ายเงินสด   '!H34+'รับ-จ่ายเงินสด   '!H35+'รับ-จ่ายเงินสด   '!H36+'รับ-จ่ายเงินสด   '!H37+'รับ-จ่ายเงินสด   '!H38+'รับ-จ่ายเงินสด   '!H39+'รับ-จ่ายเงินสด   '!H40+'รับ-จ่ายเงินสด   '!H41+'รับ-จ่ายเงินสด   '!H42+'รับ-จ่ายเงินสด   '!H44</f>
        <v>5283259.71</v>
      </c>
      <c r="G24" s="172">
        <f>'รับ-จ่ายเงินสด   '!D34+'รับ-จ่ายเงินสด   '!D35+'รับ-จ่ายเงินสด   '!D36+'รับ-จ่ายเงินสด   '!D37+'รับ-จ่ายเงินสด   '!D38+'รับ-จ่ายเงินสด   '!D39+'รับ-จ่ายเงินสด   '!D40+'รับ-จ่ายเงินสด   '!D41+'รับ-จ่ายเงินสด   '!D42+'รับ-จ่ายเงินสด   '!D43+'รับ-จ่ายเงินสด   '!D44</f>
        <v>36030183.939999998</v>
      </c>
      <c r="I24" s="201"/>
      <c r="J24" s="276">
        <f>J20-G20</f>
        <v>-14833547.150000006</v>
      </c>
    </row>
    <row r="25" spans="1:10" ht="20.25" customHeight="1">
      <c r="B25" s="6" t="s">
        <v>120</v>
      </c>
      <c r="D25" s="315"/>
      <c r="E25" s="314">
        <f>'หมายเหตุ2  '!E17:F17</f>
        <v>342050.83</v>
      </c>
      <c r="F25" s="314"/>
      <c r="G25" s="314">
        <f>'รับ-จ่ายเงินสด   '!D49</f>
        <v>2137076.91</v>
      </c>
      <c r="I25" s="201"/>
    </row>
    <row r="26" spans="1:10" ht="20.25" customHeight="1">
      <c r="B26" s="6" t="s">
        <v>270</v>
      </c>
      <c r="D26" s="315"/>
      <c r="E26" s="314">
        <f>'รับ-จ่ายเงินสด   '!H47</f>
        <v>722800</v>
      </c>
      <c r="F26" s="314"/>
      <c r="G26" s="314">
        <f>'รับ-จ่ายเงินสด   '!D47</f>
        <v>4403208</v>
      </c>
      <c r="I26" s="201"/>
    </row>
    <row r="27" spans="1:10" ht="20.25" customHeight="1">
      <c r="B27" s="6" t="s">
        <v>122</v>
      </c>
      <c r="D27" s="315"/>
      <c r="E27" s="314">
        <f>'รับ-จ่ายเงินสด   '!H48</f>
        <v>0</v>
      </c>
      <c r="F27" s="314"/>
      <c r="G27" s="314">
        <f>'รับ-จ่ายเงินสด   '!D48</f>
        <v>1192000</v>
      </c>
      <c r="I27" s="201"/>
    </row>
    <row r="28" spans="1:10" ht="24" customHeight="1">
      <c r="B28" s="6" t="s">
        <v>32</v>
      </c>
      <c r="D28" s="315"/>
      <c r="E28" s="314">
        <f>'รับ-จ่ายเงินสด   '!H45</f>
        <v>32.04</v>
      </c>
      <c r="F28" s="314"/>
      <c r="G28" s="314">
        <f>'รับ-จ่ายเงินสด   '!D45</f>
        <v>6215683.0800000001</v>
      </c>
      <c r="I28" s="201"/>
    </row>
    <row r="29" spans="1:10" ht="20.25" customHeight="1">
      <c r="B29" s="6" t="s">
        <v>123</v>
      </c>
      <c r="D29" s="315"/>
      <c r="E29" s="314">
        <f>'รับ-จ่ายเงินสด   '!H46</f>
        <v>0</v>
      </c>
      <c r="F29" s="314"/>
      <c r="G29" s="314">
        <f>'รับ-จ่ายเงินสด   '!D46</f>
        <v>3049448.96</v>
      </c>
      <c r="I29" s="201"/>
    </row>
    <row r="30" spans="1:10" ht="20.25" customHeight="1">
      <c r="B30" s="6" t="s">
        <v>410</v>
      </c>
      <c r="D30" s="315"/>
      <c r="E30" s="314">
        <v>0</v>
      </c>
      <c r="F30" s="314"/>
      <c r="G30" s="314">
        <f>'รับ-จ่ายเงินสด   '!D50</f>
        <v>100000</v>
      </c>
      <c r="I30" s="201"/>
    </row>
    <row r="31" spans="1:10" ht="20.25" customHeight="1">
      <c r="D31" s="315"/>
      <c r="E31" s="314">
        <f>'รับ-จ่ายเงินสด   '!H51</f>
        <v>0</v>
      </c>
      <c r="F31" s="314"/>
      <c r="G31" s="314">
        <f>'รับ-จ่ายเงินสด   '!D51</f>
        <v>0</v>
      </c>
      <c r="I31" s="201"/>
    </row>
    <row r="32" spans="1:10" ht="20.25" customHeight="1" thickBot="1">
      <c r="B32" s="588" t="s">
        <v>73</v>
      </c>
      <c r="C32" s="588"/>
      <c r="E32" s="208">
        <f>SUM(E24:E31)</f>
        <v>6348142.5800000001</v>
      </c>
      <c r="G32" s="208">
        <f>SUM(G24:G31)</f>
        <v>53127600.889999993</v>
      </c>
      <c r="H32" s="211"/>
      <c r="I32" s="209"/>
    </row>
    <row r="33" spans="2:14" s="205" customFormat="1" ht="26.25" customHeight="1" thickTop="1">
      <c r="B33" s="210" t="s">
        <v>411</v>
      </c>
      <c r="C33" s="210"/>
      <c r="D33" s="210"/>
      <c r="E33" s="184">
        <f>E20-E32</f>
        <v>4152612.99</v>
      </c>
      <c r="F33" s="184"/>
      <c r="G33" s="172"/>
      <c r="H33" s="172"/>
      <c r="I33" s="184"/>
      <c r="J33" s="181"/>
      <c r="K33" s="181"/>
      <c r="L33" s="181"/>
      <c r="M33" s="181"/>
      <c r="N33" s="181"/>
    </row>
    <row r="34" spans="2:14">
      <c r="F34" s="211"/>
    </row>
    <row r="35" spans="2:14">
      <c r="G35" s="172">
        <v>0</v>
      </c>
    </row>
    <row r="54" spans="2:9" ht="20.25" customHeight="1">
      <c r="B54" s="6" t="s">
        <v>121</v>
      </c>
      <c r="D54" s="315"/>
      <c r="E54" s="314"/>
      <c r="F54" s="314"/>
      <c r="G54" s="314">
        <v>0</v>
      </c>
      <c r="I54" s="201"/>
    </row>
    <row r="55" spans="2:9" ht="20.25" customHeight="1">
      <c r="B55" s="6" t="s">
        <v>281</v>
      </c>
      <c r="D55" s="315"/>
      <c r="E55" s="314" t="e">
        <f>'รับ-จ่ายเงินสด   '!#REF!</f>
        <v>#REF!</v>
      </c>
      <c r="F55" s="314"/>
      <c r="G55" s="314" t="e">
        <f>'รับ-จ่ายเงินสด   '!#REF!</f>
        <v>#REF!</v>
      </c>
      <c r="I55" s="201"/>
    </row>
    <row r="57" spans="2:9" ht="17.25" customHeight="1">
      <c r="B57" s="6" t="s">
        <v>248</v>
      </c>
      <c r="E57" s="314" t="e">
        <f>'รับ-จ่ายเงินสด   '!#REF!</f>
        <v>#REF!</v>
      </c>
      <c r="G57" s="172" t="e">
        <f>'รับ-จ่ายเงินสด   '!#REF!</f>
        <v>#REF!</v>
      </c>
      <c r="I57" s="272"/>
    </row>
    <row r="58" spans="2:9" ht="17.25" customHeight="1">
      <c r="B58" s="6" t="s">
        <v>249</v>
      </c>
      <c r="E58" s="314" t="e">
        <f>'รับ-จ่ายเงินสด   '!#REF!</f>
        <v>#REF!</v>
      </c>
      <c r="G58" s="172" t="e">
        <f>'รับ-จ่ายเงินสด   '!#REF!</f>
        <v>#REF!</v>
      </c>
      <c r="I58" s="272"/>
    </row>
    <row r="59" spans="2:9" ht="17.25" customHeight="1">
      <c r="B59" s="6" t="s">
        <v>251</v>
      </c>
      <c r="E59" s="314" t="e">
        <f>'รับ-จ่ายเงินสด   '!#REF!</f>
        <v>#REF!</v>
      </c>
      <c r="G59" s="172" t="e">
        <f>'รับ-จ่ายเงินสด   '!#REF!</f>
        <v>#REF!</v>
      </c>
      <c r="I59" s="272"/>
    </row>
    <row r="60" spans="2:9" ht="17.25" customHeight="1">
      <c r="B60" s="6" t="s">
        <v>252</v>
      </c>
      <c r="E60" s="314" t="e">
        <f>'รับ-จ่ายเงินสด   '!#REF!</f>
        <v>#REF!</v>
      </c>
      <c r="G60" s="172" t="e">
        <f>'รับ-จ่ายเงินสด   '!#REF!</f>
        <v>#REF!</v>
      </c>
      <c r="I60" s="272"/>
    </row>
    <row r="61" spans="2:9" ht="17.25" customHeight="1">
      <c r="B61" s="6" t="s">
        <v>277</v>
      </c>
      <c r="D61" s="6" t="s">
        <v>275</v>
      </c>
      <c r="E61" s="314" t="e">
        <f>'หมายเหตุ1 '!#REF!</f>
        <v>#REF!</v>
      </c>
      <c r="G61" s="172" t="e">
        <f>'หมายเหตุ1 '!#REF!</f>
        <v>#REF!</v>
      </c>
      <c r="I61" s="272"/>
    </row>
    <row r="62" spans="2:9" ht="17.25" customHeight="1">
      <c r="B62" s="6" t="s">
        <v>277</v>
      </c>
      <c r="D62" s="6" t="s">
        <v>280</v>
      </c>
      <c r="E62" s="314" t="e">
        <f>'รับ-จ่ายเงินสด   '!#REF!</f>
        <v>#REF!</v>
      </c>
      <c r="G62" s="172" t="e">
        <f>'รับ-จ่ายเงินสด   '!#REF!</f>
        <v>#REF!</v>
      </c>
      <c r="I62" s="272"/>
    </row>
    <row r="63" spans="2:9" ht="17.25" customHeight="1">
      <c r="B63" s="6" t="s">
        <v>277</v>
      </c>
      <c r="D63" s="6" t="s">
        <v>279</v>
      </c>
      <c r="E63" s="314">
        <v>0</v>
      </c>
      <c r="G63" s="172" t="e">
        <f>'รับ-จ่ายเงินสด   '!#REF!</f>
        <v>#REF!</v>
      </c>
      <c r="I63" s="272"/>
    </row>
    <row r="64" spans="2:9" ht="17.25" customHeight="1">
      <c r="B64" s="6" t="s">
        <v>277</v>
      </c>
      <c r="D64" s="6" t="s">
        <v>265</v>
      </c>
      <c r="E64" s="314" t="e">
        <f>'รับ-จ่ายเงินสด   '!#REF!</f>
        <v>#REF!</v>
      </c>
      <c r="G64" s="172" t="e">
        <f>'รับ-จ่ายเงินสด   '!#REF!</f>
        <v>#REF!</v>
      </c>
      <c r="I64" s="272"/>
    </row>
    <row r="65" spans="2:9" ht="17.25" customHeight="1">
      <c r="B65" s="6" t="s">
        <v>278</v>
      </c>
      <c r="D65" s="6" t="s">
        <v>276</v>
      </c>
      <c r="E65" s="314" t="e">
        <f>'หมายเหตุ1 '!#REF!</f>
        <v>#REF!</v>
      </c>
      <c r="G65" s="172" t="e">
        <f>'หมายเหตุ1 '!#REF!</f>
        <v>#REF!</v>
      </c>
      <c r="I65" s="272"/>
    </row>
    <row r="66" spans="2:9" ht="17.25" customHeight="1">
      <c r="B66" s="6" t="s">
        <v>278</v>
      </c>
      <c r="D66" s="336" t="s">
        <v>282</v>
      </c>
      <c r="E66" s="314">
        <v>3958000</v>
      </c>
      <c r="G66" s="172">
        <f>E66</f>
        <v>3958000</v>
      </c>
      <c r="I66" s="272"/>
    </row>
    <row r="69" spans="2:9" ht="20.25" customHeight="1">
      <c r="B69" s="6" t="s">
        <v>270</v>
      </c>
      <c r="D69" s="315"/>
      <c r="E69" s="314" t="e">
        <f>'รับ-จ่ายเงินสด   '!#REF!</f>
        <v>#REF!</v>
      </c>
      <c r="F69" s="314"/>
      <c r="G69" s="314" t="e">
        <f>'รับ-จ่ายเงินสด   '!#REF!</f>
        <v>#REF!</v>
      </c>
      <c r="I69" s="201"/>
    </row>
  </sheetData>
  <mergeCells count="5">
    <mergeCell ref="B20:C20"/>
    <mergeCell ref="B32:C32"/>
    <mergeCell ref="A1:G1"/>
    <mergeCell ref="A2:G2"/>
    <mergeCell ref="A3:G3"/>
  </mergeCells>
  <phoneticPr fontId="0" type="noConversion"/>
  <pageMargins left="0.82" right="0.27" top="0.53" bottom="0.12" header="0.5" footer="0.21"/>
  <pageSetup paperSize="9" scale="90" orientation="portrait" horizontalDpi="180" verticalDpi="18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10</vt:i4>
      </vt:variant>
      <vt:variant>
        <vt:lpstr>ช่วงที่มีชื่อ</vt:lpstr>
      </vt:variant>
      <vt:variant>
        <vt:i4>3</vt:i4>
      </vt:variant>
    </vt:vector>
  </HeadingPairs>
  <TitlesOfParts>
    <vt:vector size="13" baseType="lpstr">
      <vt:lpstr>Sheet1</vt:lpstr>
      <vt:lpstr>ใบผ่านมาตรฐาน 1, 2</vt:lpstr>
      <vt:lpstr>งบทดลอง </vt:lpstr>
      <vt:lpstr>รับ-จ่ายเงินสด   </vt:lpstr>
      <vt:lpstr>หมายเหตุ1 </vt:lpstr>
      <vt:lpstr>หมายเหตุ 3</vt:lpstr>
      <vt:lpstr>หมายเหตุ2  </vt:lpstr>
      <vt:lpstr>งบกระทบยอดธนาคาร (2)</vt:lpstr>
      <vt:lpstr>กระแสเงินสด</vt:lpstr>
      <vt:lpstr>Sheet3</vt:lpstr>
      <vt:lpstr>'งบกระทบยอดธนาคาร (2)'!Print_Area</vt:lpstr>
      <vt:lpstr>'ใบผ่านมาตรฐาน 1, 2'!Print_Area</vt:lpstr>
      <vt:lpstr>'รับ-จ่ายเงินสด   '!Print_Area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EasyXP_V.11</cp:lastModifiedBy>
  <cp:lastPrinted>2018-08-06T08:57:00Z</cp:lastPrinted>
  <dcterms:created xsi:type="dcterms:W3CDTF">2003-11-18T03:54:53Z</dcterms:created>
  <dcterms:modified xsi:type="dcterms:W3CDTF">2018-08-09T07:30:19Z</dcterms:modified>
</cp:coreProperties>
</file>