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40" windowHeight="8625" tabRatio="856" activeTab="8"/>
  </bookViews>
  <sheets>
    <sheet name="ใบผ่านรายการ 1 " sheetId="1" r:id="rId1"/>
    <sheet name="ใบผ่านรายการ  2" sheetId="2" r:id="rId2"/>
    <sheet name="ใบผ่านรายการ3" sheetId="3" r:id="rId3"/>
    <sheet name="ใบผ่านทั่วไป" sheetId="4" r:id="rId4"/>
    <sheet name="กระดาษทำการ" sheetId="5" r:id="rId5"/>
    <sheet name="งบทดลอง " sheetId="6" r:id="rId6"/>
    <sheet name="รับ-จ่าย  (2)" sheetId="7" r:id="rId7"/>
    <sheet name="งบกระแส " sheetId="8" r:id="rId8"/>
    <sheet name="หมายเหตุ2" sheetId="9" r:id="rId9"/>
    <sheet name="หมายเหตุ3" sheetId="10" r:id="rId10"/>
    <sheet name="หมายเหตุ 4 (2)" sheetId="11" r:id="rId11"/>
    <sheet name="งบกระทบยอด " sheetId="12" r:id="rId12"/>
    <sheet name="Sheet1" sheetId="13" r:id="rId13"/>
    <sheet name="Sheet2" sheetId="14" r:id="rId14"/>
  </sheets>
  <externalReferences>
    <externalReference r:id="rId17"/>
  </externalReferences>
  <definedNames>
    <definedName name="_xlnm.Print_Area" localSheetId="7">'งบกระแส '!$A$1:$D$50</definedName>
    <definedName name="_xlnm.Print_Area" localSheetId="5">'งบทดลอง '!$A$1:$D$54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'หมายเหตุ2'!$A$1:$F$19</definedName>
    <definedName name="_xlnm.Print_Area" localSheetId="9">'หมายเหตุ3'!$A$1:$F$26</definedName>
    <definedName name="_xlnm.Print_Titles" localSheetId="4">'กระดาษทำการ'!$1:$2</definedName>
  </definedNames>
  <calcPr fullCalcOnLoad="1"/>
</workbook>
</file>

<file path=xl/sharedStrings.xml><?xml version="1.0" encoding="utf-8"?>
<sst xmlns="http://schemas.openxmlformats.org/spreadsheetml/2006/main" count="1577" uniqueCount="726">
  <si>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</si>
  <si>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</si>
  <si>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</si>
  <si>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</si>
  <si>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</si>
  <si>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</si>
  <si>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</si>
  <si>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</si>
  <si>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</si>
  <si>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</si>
  <si>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</si>
  <si>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</si>
  <si>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</si>
  <si>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</si>
  <si>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</si>
  <si>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</si>
  <si>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</si>
  <si>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</si>
  <si>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</si>
  <si>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</si>
  <si>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</si>
  <si>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</si>
  <si>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</si>
  <si>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</si>
  <si>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</si>
  <si>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</si>
  <si>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</si>
  <si>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</si>
  <si>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</si>
  <si>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</si>
  <si>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</si>
  <si>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</si>
  <si>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</si>
  <si>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</si>
  <si>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</si>
  <si>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</si>
  <si>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</si>
  <si>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</si>
  <si>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</si>
  <si>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</si>
  <si>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</si>
  <si>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</si>
  <si>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</si>
  <si>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</si>
  <si>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</si>
  <si>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</si>
  <si>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</si>
  <si>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</si>
  <si>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</si>
  <si>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</si>
  <si>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</si>
  <si>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</si>
  <si>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</si>
  <si>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</si>
  <si>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</si>
  <si>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</si>
  <si>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</si>
  <si>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</si>
  <si>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</si>
  <si>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</si>
  <si>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</si>
  <si>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</si>
  <si>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</si>
  <si>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</si>
  <si>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</si>
  <si>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</si>
  <si>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</si>
  <si>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</si>
  <si>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</si>
  <si>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</si>
  <si>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</si>
  <si>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</si>
  <si>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</si>
  <si>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</si>
  <si>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</si>
  <si>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</si>
  <si>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</si>
  <si>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</si>
  <si>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</si>
  <si>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</si>
  <si>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</si>
  <si>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</si>
  <si>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</si>
  <si>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</si>
  <si>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</si>
  <si>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</si>
  <si>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</si>
  <si>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</si>
  <si>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</si>
  <si>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</si>
  <si>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</si>
  <si>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</si>
  <si>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</si>
  <si>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</si>
  <si>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</si>
  <si>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</si>
  <si>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</si>
  <si>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</si>
  <si>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</si>
  <si>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</si>
  <si>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</si>
  <si>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</si>
  <si>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</si>
  <si>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</si>
  <si>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</si>
  <si>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</si>
  <si>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</si>
  <si>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</si>
  <si>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</si>
  <si>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</si>
  <si>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เงินฝากธนาคารกรุงไทย 461 - 2</t>
  </si>
  <si>
    <t>จ่ายเงินอุดหนุนโครงการไทยเข้มแข็ง</t>
  </si>
  <si>
    <t>รับเงินอุดหนุนโครงการไทยเข้มแข็ง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</si>
  <si>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</si>
  <si>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</si>
  <si>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</si>
  <si>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</si>
  <si>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</si>
  <si>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</si>
  <si>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</si>
  <si>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</si>
  <si>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</si>
  <si>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</si>
  <si>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ปรับปรุงบัญชีเงินฝากธนาคารกรุงไทย (461-2) เข้าบัญชีเงินฝากธนาคารกรุงไทย (270-5) 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</si>
  <si>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</si>
  <si>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</si>
  <si>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</si>
  <si>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</si>
  <si>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</si>
  <si>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</si>
  <si>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</si>
  <si>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</si>
  <si>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</si>
  <si>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</si>
  <si>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</si>
  <si>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</si>
  <si>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</si>
  <si>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</si>
  <si>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</si>
  <si>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</si>
  <si>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</si>
  <si>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</si>
  <si>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</si>
  <si>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</si>
  <si>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</si>
  <si>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</si>
  <si>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</si>
  <si>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</si>
  <si>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</si>
  <si>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</si>
  <si>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</si>
  <si>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</si>
  <si>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</si>
  <si>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</si>
  <si>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</si>
  <si>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</si>
  <si>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</si>
  <si>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</si>
  <si>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</si>
  <si>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</si>
  <si>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</si>
  <si>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</si>
  <si>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</si>
  <si>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</si>
  <si>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</si>
  <si>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</si>
  <si>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</si>
  <si>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</si>
  <si>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</si>
  <si>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</si>
  <si>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</si>
  <si>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</si>
  <si>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</si>
  <si>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</si>
  <si>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</si>
  <si>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</si>
  <si>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</si>
  <si>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</si>
  <si>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</si>
  <si>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</si>
  <si>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</si>
  <si>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</si>
  <si>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</si>
  <si>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</si>
  <si>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</si>
  <si>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</si>
  <si>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</si>
  <si>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</si>
  <si>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</si>
  <si>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</si>
  <si>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</si>
  <si>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</si>
  <si>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</si>
  <si>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</si>
  <si>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</si>
  <si>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</si>
  <si>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</si>
  <si>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</si>
  <si>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</si>
  <si>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</si>
  <si>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</si>
  <si>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</si>
  <si>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</si>
  <si>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</si>
  <si>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</si>
  <si>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</si>
  <si>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</si>
  <si>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</si>
  <si>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</si>
  <si>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</si>
  <si>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</si>
  <si>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</si>
  <si>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</si>
  <si>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</si>
  <si>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</si>
  <si>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</si>
  <si>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</si>
  <si>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</si>
  <si>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</si>
  <si>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</si>
  <si>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</si>
  <si>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</si>
  <si>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</si>
  <si>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</si>
  <si>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</si>
  <si>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</si>
  <si>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</si>
  <si>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</si>
  <si>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</si>
  <si>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</si>
  <si>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</si>
  <si>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</si>
  <si>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</si>
  <si>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</si>
  <si>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</si>
  <si>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</si>
  <si>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</si>
  <si>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</si>
  <si>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</si>
  <si>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</si>
  <si>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</si>
  <si>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</si>
  <si>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</si>
  <si>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</si>
  <si>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</si>
  <si>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</si>
  <si>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</si>
  <si>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</si>
  <si>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</si>
  <si>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</si>
  <si>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</si>
  <si>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</si>
  <si>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</si>
  <si>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</si>
  <si>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</si>
  <si>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</si>
  <si>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</si>
  <si>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</si>
  <si>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ลงชื่อ ............................................. ผู้ตรวจสอบ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</si>
  <si>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</si>
  <si>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</si>
  <si>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</si>
  <si>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</si>
  <si>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</si>
  <si>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</si>
  <si>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</si>
  <si>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</si>
  <si>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</si>
  <si>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</si>
  <si>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</si>
  <si>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</si>
  <si>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</si>
  <si>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</si>
  <si>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</si>
  <si>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</si>
  <si>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</si>
  <si>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</si>
  <si>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</si>
  <si>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</si>
  <si>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</si>
  <si>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</si>
  <si>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</si>
  <si>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</si>
  <si>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</si>
  <si>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</si>
  <si>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</si>
  <si>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</si>
  <si>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</si>
  <si>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</si>
  <si>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</si>
  <si>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</si>
  <si>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</si>
  <si>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</si>
  <si>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</si>
  <si>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</si>
  <si>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</si>
  <si>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</si>
  <si>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</si>
  <si>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</si>
  <si>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</si>
  <si>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</si>
  <si>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</si>
  <si>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</si>
  <si>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</si>
  <si>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</si>
  <si>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</si>
  <si>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</si>
  <si>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</si>
  <si>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</si>
  <si>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</si>
  <si>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</si>
  <si>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</si>
  <si>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</si>
  <si>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</si>
  <si>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</si>
  <si>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</si>
  <si>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</si>
  <si>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</si>
  <si>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</si>
  <si>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</si>
  <si>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</si>
  <si>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</si>
  <si>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</si>
  <si>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</si>
  <si>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ระบุวัตถุประสงค์ส่เงินทุนสำหรับการศึกษา (ผดด.)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</si>
  <si>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</si>
  <si>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</si>
  <si>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</si>
  <si>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</si>
  <si>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</si>
  <si>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</si>
  <si>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</si>
  <si>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</si>
  <si>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</si>
  <si>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</si>
  <si>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</si>
  <si>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</si>
  <si>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</si>
  <si>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</si>
  <si>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</si>
  <si>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</si>
  <si>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</si>
  <si>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</si>
  <si>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</si>
  <si>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</si>
  <si>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</si>
  <si>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</si>
  <si>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</si>
  <si>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</si>
  <si>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</si>
  <si>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</si>
  <si>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</si>
  <si>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</si>
  <si>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</si>
  <si>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</si>
  <si>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</si>
  <si>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</si>
  <si>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</si>
  <si>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</si>
  <si>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</si>
  <si>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</si>
  <si>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</si>
  <si>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</si>
  <si>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</si>
  <si>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</si>
  <si>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</si>
  <si>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</si>
  <si>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</si>
  <si>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</si>
  <si>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</si>
  <si>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</si>
  <si>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</si>
  <si>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</si>
  <si>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</si>
  <si>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</si>
  <si>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</si>
  <si>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</si>
  <si>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</si>
  <si>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</si>
  <si>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</si>
  <si>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</si>
  <si>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</si>
  <si>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</si>
  <si>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</si>
  <si>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</si>
  <si>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</si>
  <si>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</si>
  <si>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เงินภาษีและค่าธรรมเนียมรถยนต์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</si>
  <si>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</si>
  <si>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</si>
  <si>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</si>
  <si>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</si>
  <si>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>จำนวนโครงการ</t>
  </si>
  <si>
    <t>441001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</si>
  <si>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</si>
  <si>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</si>
  <si>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</si>
  <si>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</si>
  <si>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</si>
  <si>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</si>
  <si>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</si>
  <si>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</si>
  <si>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</si>
  <si>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</si>
  <si>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</si>
  <si>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</si>
  <si>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</si>
  <si>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</si>
  <si>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</si>
  <si>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</si>
  <si>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</si>
  <si>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</si>
  <si>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</si>
  <si>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</si>
  <si>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</si>
  <si>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</si>
  <si>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</si>
  <si>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</si>
  <si>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</si>
  <si>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</si>
  <si>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</si>
  <si>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</si>
  <si>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</si>
  <si>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</si>
  <si>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</si>
  <si>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</si>
  <si>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</si>
  <si>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</si>
  <si>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</si>
  <si>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</si>
  <si>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</si>
  <si>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</si>
  <si>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</si>
  <si>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</si>
  <si>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</si>
  <si>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</si>
  <si>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</si>
  <si>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</si>
  <si>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</si>
  <si>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</si>
  <si>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</si>
  <si>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</si>
  <si>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</si>
  <si>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</si>
  <si>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</si>
  <si>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</si>
  <si>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</si>
  <si>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</si>
  <si>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</si>
  <si>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</si>
  <si>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</si>
  <si>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</si>
  <si>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</si>
  <si>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</si>
  <si>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</si>
  <si>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</si>
  <si>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</si>
  <si>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</si>
  <si>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</si>
  <si>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 xml:space="preserve"> (นางสุพรรณิการ์  กอบเขตกรรม) </t>
  </si>
  <si>
    <t xml:space="preserve">                 ตำแหน่ง       ผู้อำนวยการกองคลัง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</si>
  <si>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</si>
  <si>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</si>
  <si>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</si>
  <si>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</si>
  <si>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</si>
  <si>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</si>
  <si>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</si>
  <si>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</si>
  <si>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</si>
  <si>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</si>
  <si>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</si>
  <si>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</si>
  <si>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</si>
  <si>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</si>
  <si>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</si>
  <si>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</si>
  <si>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ค่าปรับผู้กระทำผิดกฎหมายสาธารสุข(รวมใบอนุญาต)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</si>
  <si>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</si>
  <si>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</si>
  <si>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</si>
  <si>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</si>
  <si>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</si>
  <si>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</si>
  <si>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</si>
  <si>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</si>
  <si>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เงินอุดหนุนทั่วไป - ระบุวัตถุประสงค์เงินค่าเช่าบ้าน</t>
  </si>
  <si>
    <t>เลขที่    /2560</t>
  </si>
  <si>
    <t>เงินเดือนครูและค่าจ้างประจำ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</si>
  <si>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</si>
  <si>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</si>
  <si>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</si>
  <si>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</si>
  <si>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</si>
  <si>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</si>
  <si>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</si>
  <si>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</si>
  <si>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</si>
  <si>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</si>
  <si>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</si>
  <si>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</si>
  <si>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</si>
  <si>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</si>
  <si>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>รับคืนเงินเงินสะสม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</si>
  <si>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</si>
  <si>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</si>
  <si>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</si>
  <si>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</si>
  <si>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</si>
  <si>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</si>
  <si>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</si>
  <si>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</si>
  <si>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</si>
  <si>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</si>
  <si>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</si>
  <si>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</si>
  <si>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</si>
  <si>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</si>
  <si>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</si>
  <si>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</si>
  <si>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รายได้รอการรับรู้</t>
  </si>
  <si>
    <t>ใบอนุญาตจำหน่ายยาสูบ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</si>
  <si>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</si>
  <si>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</si>
  <si>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</si>
  <si>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</si>
  <si>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</si>
  <si>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</si>
  <si>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</si>
  <si>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</si>
  <si>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</si>
  <si>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</si>
  <si>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</si>
  <si>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</si>
  <si>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</si>
  <si>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</si>
  <si>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</si>
  <si>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</si>
  <si>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</si>
  <si>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</si>
  <si>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</si>
  <si>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</si>
  <si>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</si>
  <si>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</si>
  <si>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</si>
  <si>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</si>
  <si>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ภาษีมูลค่าเพิ่มตาม พรบ.กำหนดแผนและขั้นตอนกระจายอำนาจฯ</t>
  </si>
  <si>
    <t>เบิกเกินส่งคืน -สาธารณูปโภค</t>
  </si>
  <si>
    <t>รับคืนค่าสาธารณูปโภค (เบิกเกินส่งคืน)</t>
  </si>
  <si>
    <t>ภาษีมูลค่าเพิ่ม 1/9</t>
  </si>
  <si>
    <t xml:space="preserve">เงินภาษีและค่าธรรมเนียมรถยนต์ </t>
  </si>
  <si>
    <t>เงินรับฝาก-ค่าดำเนินค่าปรับสภาพแวดล้อมที่อยู่อาศัยสำหรับผู้พิการ-สูงอายุฯ</t>
  </si>
  <si>
    <t>ส่งใช้เงินยืมงบประมาณตามฎีกา</t>
  </si>
  <si>
    <t xml:space="preserve"> .......................................................       ว่าที่ ร.อ. ……………………………………                   ……………………………………………..</t>
  </si>
  <si>
    <t>ว่าที่ ร.อ. ..........................................</t>
  </si>
  <si>
    <t>(สกล  พละเสน)</t>
  </si>
  <si>
    <t>ปลัดเทศบาลตำบลตลาดแค</t>
  </si>
  <si>
    <t>ดอกเบี้ยเงินฝากธนาคารฯ</t>
  </si>
  <si>
    <t xml:space="preserve">                        (นางสาวอมรรัตน์  แสงฤทธิ์)</t>
  </si>
  <si>
    <t xml:space="preserve">      ตำแหน่ง          อำนวยการกองคลัง</t>
  </si>
  <si>
    <t>ค่าธรรมเนียมเก็บขนอุจจาระและสิ่งปฎิกูล</t>
  </si>
  <si>
    <t>ปัจจัยพื้นฐานสหรับนักเรียนยากจน</t>
  </si>
  <si>
    <t>(นางสาวอมรรัตน์  แสงฤทธิ์)</t>
  </si>
  <si>
    <t>ผู้อำนวยการกองคลัง</t>
  </si>
  <si>
    <t>(นางสาวอมรรัตน์   แสงฤทธิ์)</t>
  </si>
  <si>
    <t xml:space="preserve">   (นางสาวอมรรัตน์  แสงฤทธิ์)                      ( สกล  พละเสน )                             ( นายชัยรัตน์  กิตติหิรัญวัฒน์)</t>
  </si>
  <si>
    <r>
      <t xml:space="preserve">       ผู้อำนวยการกองคลัง </t>
    </r>
    <r>
      <rPr>
        <sz val="14"/>
        <rFont val="TH SarabunPSK"/>
        <family val="2"/>
      </rPr>
      <t xml:space="preserve">                      </t>
    </r>
    <r>
      <rPr>
        <sz val="16"/>
        <rFont val="TH SarabunPSK"/>
        <family val="2"/>
      </rPr>
      <t>ปลัดเทศบาลตำบลตลาดแค                         นายกเทศมนตรีตำบลตลาดแค</t>
    </r>
  </si>
  <si>
    <t xml:space="preserve">                      ผู้อำนวยการกองคลัง</t>
  </si>
  <si>
    <t>เบิกเกินส่งคืน - ค่าใช้จ่ายโครงการนักวางแผนพัฒนาท้องถิ่น</t>
  </si>
  <si>
    <t>อาหารเสริม(นม) ปฐมวัย</t>
  </si>
  <si>
    <t>อาหารกลางวัน ปฐมวัย</t>
  </si>
  <si>
    <t>อาหารเสริม(นม)ประถมศึกษา</t>
  </si>
  <si>
    <t>อาหารกลางวัน ประถมศึกษา</t>
  </si>
  <si>
    <t>แยกประเภท</t>
  </si>
  <si>
    <t>ส่งคืน - เงินสะสม</t>
  </si>
  <si>
    <t xml:space="preserve">    วันที่  30   เดือน กันยายน  พ.ศ. 2560</t>
  </si>
  <si>
    <t>ส่งใช้เงินยืมค่าลงทะเบียนอบรมหลักกฎหมายปกครองและคดีปกครอง</t>
  </si>
  <si>
    <t>29  กันยายน 60</t>
  </si>
  <si>
    <t>10084615</t>
  </si>
  <si>
    <t>โอนบัญชีรายจ่ายค้างจ่ายเข้าบัญชีเงินสะสมตามรายการแนบท้าย</t>
  </si>
  <si>
    <t>ปรับปรุงบัญชีรายจ่ายค้างจ่ายประจำปีงบประมาณ พ.ศ.2560 สำหรับโครงการที่ได้รับอนุมัติให้กันกันไว้เบิกตัดปี</t>
  </si>
  <si>
    <t>หนี้ผูกพัน</t>
  </si>
  <si>
    <t>หนี้ไม่ผูกพัน</t>
  </si>
  <si>
    <t>วัสดุ</t>
  </si>
  <si>
    <t>เจ้าหนี้เงินกู้ - สำนักงานเงินทุนส่งเสริมกิจการเทศบาล</t>
  </si>
  <si>
    <t>2.ปรับปรุงการชำระหนี้เงินกู้ เงินต้นจำนวนเงิน 305,334.00   บาท โดยลดยอดบัญชีเจ้าหนี้เงินกู้</t>
  </si>
  <si>
    <t>1.ปรับปรุงการชำระหนี้เงินกู้ เงินต้นจำนวนเงิน 598,483.78   บาท โดยลดยอดบัญชีเจ้าหนี้เงินกู้</t>
  </si>
  <si>
    <t>สำนักงานเงินทุนส่งเสริมกิจการเทศบาล เข้าบัญชีเงินสะสม ตามฎีกา 1170-1171/60</t>
  </si>
  <si>
    <t>สำนักงานเงินกองทุนเมืองฯ เข้าบัญชีเงินสะสม ตามฎีกา 267,911/60</t>
  </si>
  <si>
    <t>1.ปรับปรุงซ่อมแซมอาคารเรียน</t>
  </si>
  <si>
    <t>2.ก่อสร้างอาคารศูนย์รวมข้อมูลข่าวสาร</t>
  </si>
  <si>
    <t>(เทศบัญญัติ 60)</t>
  </si>
  <si>
    <t>(ตั้งจ่ายรายการใหม่)</t>
  </si>
  <si>
    <t>700,000. บาท</t>
  </si>
  <si>
    <t>ค่าจ้างชั่วคราว</t>
  </si>
  <si>
    <t xml:space="preserve">    วันที่  29  เดือน กันยายน  พ.ศ. 2560</t>
  </si>
  <si>
    <t>เงินอุดหนุนทั่วไประบุวัตถุประสงค์-เงินช่วยเหลือการศึกษาบุตร</t>
  </si>
  <si>
    <t>440000</t>
  </si>
  <si>
    <t>ปรับปรุงเงินรายรับเข้าบัญชีเงินรับฝากรอคืนจังหวัด</t>
  </si>
  <si>
    <t>รายจ่ายผัดส่งใบสำคัญ</t>
  </si>
  <si>
    <t>210300</t>
  </si>
  <si>
    <t>บันทึกรายการรายจ่ายผัดส่งใบสำคัญ</t>
  </si>
  <si>
    <t>โอนปิดบัญชีรายรับ ประจำปีงบประมาณ พ.ศ. 2560 เข้าบัญชีเงินสะสมร้อยละ 75 และ เข้าบัญชีเงินทุนสะรองสะสมร้อยละ 25</t>
  </si>
  <si>
    <t>ค่าใบอนุญาตจัดตั้งสถานที่จำหน่ายหรือสถานที่สะสมอาหารในอาคาร</t>
  </si>
  <si>
    <t>โอนปิดบัญชีรายจ่ายต่าง ๆ ประจำปีงบประมาณ พ.ศ.2560 เข้าบัญชีเงินสะสมร้อยละ 75 และบัญชีเงินทุนสำรองสะสมร้อยละ 25</t>
  </si>
  <si>
    <t>320000</t>
  </si>
  <si>
    <t>โครงการปรับปรุงซ่อมแซมและขยายท่อเมนประปา เทศบาล ตำบลตลาดแค</t>
  </si>
  <si>
    <t>โครงการปรับปรุงห้องเก็บของเทศบาลเป็นห้องครัว</t>
  </si>
  <si>
    <t>หนังสือพิมพ์ประจำเดือนกันยายน 2560</t>
  </si>
  <si>
    <t>อาหารเสริม(นม)</t>
  </si>
  <si>
    <t>โครงการจ้างเหมาบริการปฏิบัติการสอนดนตรี</t>
  </si>
  <si>
    <t>โครงการจ้างเหมาบริการปฏิบัติการสอนคอมพิวเตอร์</t>
  </si>
  <si>
    <t>โครงการซ่อมแซมอาคารเรียนฯ</t>
  </si>
  <si>
    <t>ค่าครองชีพชั่วคราวครูผู้ดูแลเด็ก</t>
  </si>
  <si>
    <t>โครงการจ้างเหมาปฏิบัติงานกองคลัง</t>
  </si>
  <si>
    <t>โครงการจ้างเหมาปฏิบัติงานกองช่าง</t>
  </si>
  <si>
    <t>โครงการก่อสร้างอาคารศูนย์ข้อมูลข่าวสาร</t>
  </si>
  <si>
    <t>โครงการจ้างเหมาทำความสะอาด</t>
  </si>
  <si>
    <t>หมายเหตุ 3</t>
  </si>
  <si>
    <t>รายจ่ายค้างจ่าย ประกอบงบทดลองและรายรับ - รายจ่าย</t>
  </si>
  <si>
    <t>โครงการจ้างเหมาดูแลสวนหย่อม</t>
  </si>
  <si>
    <t>ฎ.6/2561 ลงวันที่ 16 ต.ค.2560</t>
  </si>
  <si>
    <t>ฎ.7/2561 ลงวันที่ 16 ต.ค.2560</t>
  </si>
  <si>
    <t>ฎ.8-10/2561 ลงวันที่ 16 ต.ค.2560</t>
  </si>
  <si>
    <t>ฎ.11/2561 ลงวันที่ 16 ต.ค.2560</t>
  </si>
  <si>
    <t>ฎ.12/2561 ลงวันที่ 16 ต.ค.2560</t>
  </si>
  <si>
    <t>ฎ.13/2561 ลงวันที่ 16 ต.ค.2560</t>
  </si>
  <si>
    <t>ฎ.26/2561 ลงวันที่ 24 ต.ค.2560</t>
  </si>
  <si>
    <t>ฎ.33/2561 ลงวันที่ 24 ต.ค.2560</t>
  </si>
  <si>
    <t>ฎ.46/2561 ลงวันที่ 31 ต.ค.2560</t>
  </si>
  <si>
    <t>เลขที่       /2561</t>
  </si>
  <si>
    <t>ฎ.74/2561 ลงวันที่ 8 พ.ย.2560</t>
  </si>
  <si>
    <t>ค่าธรรมเนียมจดทะเบียนสิทธิ์และนิติกรรมฯ</t>
  </si>
  <si>
    <t>ค่าใบอนุญาตขายสุรา</t>
  </si>
  <si>
    <t>ฎ.118/2561 ลงวันที่ 29 พ.ย.2560</t>
  </si>
  <si>
    <t>เบิกเกินส่งคืน - ลูกหนี้เงินยืม</t>
  </si>
  <si>
    <t>ส่งใช้เงินยืมเบี้ยยังชีพผู้สูงอายุ</t>
  </si>
  <si>
    <t>ส่งใช้เงินยืมเบี้ยยังชีพคนพิการ</t>
  </si>
  <si>
    <t xml:space="preserve">เงินอุดหนุนทั่วไป </t>
  </si>
  <si>
    <t>สนับสนุนทุนการศึกษาสำหรับผู้ดูแลเด็ก</t>
  </si>
  <si>
    <t>เงินอุดหนุนทั่วไป - ระบุวัตถุประสงค์ค่าศึกษาบุตร</t>
  </si>
  <si>
    <t>เงินอุดหนุนโครงการพระราชดำริด้านสาธารณสุข</t>
  </si>
  <si>
    <t>การจัดการศึกษาขึ้นพื้นฐาน(ค่าจัดการเรียนการสอน)</t>
  </si>
  <si>
    <t>ค่าจัดการเรียนการสอน(ศพด.)</t>
  </si>
  <si>
    <t>3  พฤศจิกายน 60</t>
  </si>
  <si>
    <t>10084670</t>
  </si>
  <si>
    <t>10084672</t>
  </si>
  <si>
    <t>เงินอุดหนุนเฉพาะกิจ-โครงการตามพระราชดำริด้านสาธารณสุข</t>
  </si>
  <si>
    <t>รับคืนลูกหนี้เงินยืม (เบิกเกินส่งคืน)</t>
  </si>
  <si>
    <t>รับคืนลูกหนี้เงินยืม</t>
  </si>
  <si>
    <t xml:space="preserve">    วันที่ 14  เดือน ธันวาคม  พ.ศ. 2560</t>
  </si>
  <si>
    <t>ธนาคารออมสิน สาขาโนนสูง (05-2510-50983-0)</t>
  </si>
  <si>
    <t>บันทึกโอนเงินเพื่อรอชำระหนี้ สพม.ปี61</t>
  </si>
  <si>
    <t>เลขที่      /2561</t>
  </si>
  <si>
    <t>ยอดคงเหลือตามรายงานธนาคาร   ณ  วันที่  29   ธันวาคม  2560</t>
  </si>
  <si>
    <t>ยอดเงินคงเหลือตามบัญชี ณ   วันที่  วันที่ 29  ธันวาคม 2560</t>
  </si>
  <si>
    <t>ค่าสำรวจข้อมูลสัตว์และขึ้นทะเบียนจำนวนสัตว์ฯ</t>
  </si>
  <si>
    <t>ค่าขับเคลื่อนโครงการสัตว์ปลอดโรค คนปลอดภัยฯ</t>
  </si>
  <si>
    <t>ค่าปรับปรุงอาคารและค่าครุภัณฑ์ของศูนย์พัฒนาคุณภาพฯ</t>
  </si>
  <si>
    <t>ค่าสำรวจข้อมูลสัตว์และขึ้นทะเบียนจำนวนสัตว์</t>
  </si>
  <si>
    <t>ค่าขับเคลื่อนโครงการสัตว์ปลอดโรคคนปลอดภัยฯ</t>
  </si>
  <si>
    <t>ค่าปรับปรุงอาคารและครุภัณฑ์ของศูนย์พัฒนาคุณภาพฯ</t>
  </si>
  <si>
    <t xml:space="preserve">    วันที่ 28   เดือน กุมภาพันธ์  พ.ศ. 2561</t>
  </si>
  <si>
    <t>เลขที่            /2561</t>
  </si>
  <si>
    <t>ณ วันที่ 28   กุมภาพันธ์ 2561</t>
  </si>
  <si>
    <t>เงินอุดหนุนทั่วไปครั้งที่ 2</t>
  </si>
  <si>
    <t>เงินอุดหนุนทั่วไปเบี้ยยังชีพผู้สูงอายุไตรมาสที่ 2</t>
  </si>
  <si>
    <t>เงินอุดหนุนทั่วไปเบี้ยยังชีพคนพิการไตรมาสที่ 2</t>
  </si>
  <si>
    <t>ค่าภาคหลวงแร่  4/60</t>
  </si>
  <si>
    <t>เงินอุดหนุนทั่วไป - ค่าเช่าบ้านพนักงานครูเทศบาล ไตรมาสที่ 2</t>
  </si>
  <si>
    <t>ค่าภาคหลวงปิโตรเลี่ยม  1/61</t>
  </si>
  <si>
    <t>10094247</t>
  </si>
  <si>
    <t>8 มีนาคม 61</t>
  </si>
  <si>
    <t>10094303</t>
  </si>
  <si>
    <t>10094305</t>
  </si>
  <si>
    <t>10094314</t>
  </si>
  <si>
    <t>10094315</t>
  </si>
  <si>
    <t>10094320</t>
  </si>
  <si>
    <t>5 กุมภาพันธ์ 61</t>
  </si>
  <si>
    <t>17 เมษายน 61</t>
  </si>
  <si>
    <t>10094396</t>
  </si>
  <si>
    <t>10094398</t>
  </si>
  <si>
    <t xml:space="preserve"> เลขที่ 1/05 /2561</t>
  </si>
  <si>
    <t>5320000</t>
  </si>
  <si>
    <t>5100000</t>
  </si>
  <si>
    <t>11041000</t>
  </si>
  <si>
    <t>11  พฤษภาคม 61</t>
  </si>
  <si>
    <t>10094458</t>
  </si>
  <si>
    <t>นางพิน  อินทร์โคกสูง</t>
  </si>
  <si>
    <t>นายสุทัศน์</t>
  </si>
  <si>
    <t>สงัด</t>
  </si>
  <si>
    <t>มา</t>
  </si>
  <si>
    <t>สมหมาย</t>
  </si>
  <si>
    <t>อาทิต</t>
  </si>
  <si>
    <t>มลิวรรรณ์</t>
  </si>
  <si>
    <t>ประคอง</t>
  </si>
  <si>
    <t>สกราว</t>
  </si>
  <si>
    <t>กระดาษทำการ  เทศบาลตำบลตลาดแค   ประจำเดือนมิถุนายน 2561</t>
  </si>
  <si>
    <t>ปีงบประมาณ 2561 ประจำเดือน มิถุนายน   2561</t>
  </si>
  <si>
    <t>เพียงวันที่   29  มิถุนายน   พ.ศ.   2561</t>
  </si>
  <si>
    <t>ณ  วันที่  29  มิถุนายน   2561</t>
  </si>
  <si>
    <t>เลขที่  2/06/2561</t>
  </si>
  <si>
    <t>วันที่  29    เดือน มิถุนายน 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</si>
  <si>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รายการจากสมุดเงินสดจ่ายไปยังบัญชีแยกประเภทที่เกี่ยวข้องประจำเดือนมิถุนายน2561</t>
    </r>
  </si>
  <si>
    <t>ส่งใช้เงินยืมลงทะเบียนอบรมหลักสูตรนักบริหารงานสวัสดิการฯ</t>
  </si>
  <si>
    <t>วันที่  29   เดือน  มิถุนายน พ.ศ. 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</si>
  <si>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รายการจากสมุดเงินสดรับไปยังบัญชีแยกประเภทที่เกี่ยวข้องประจำเดือนมิถุนายน 2561</t>
    </r>
  </si>
  <si>
    <t>ยอดคงเหลือตามรายงานธนาคาร   ณ  วันที่  30  มิถุนายน 2561</t>
  </si>
  <si>
    <t>29  มิถุนายน 61</t>
  </si>
  <si>
    <t>10094539</t>
  </si>
  <si>
    <t>26  มิถุนายน 61</t>
  </si>
  <si>
    <t>10094536</t>
  </si>
  <si>
    <t>10094532</t>
  </si>
  <si>
    <t>22  มิถุนายน 61</t>
  </si>
  <si>
    <t>10094525</t>
  </si>
  <si>
    <t>ยอดเงินคงเหลือตามบัญชี ณ   วันที่  วันที่ 30  มิถุนายน 2561</t>
  </si>
  <si>
    <t xml:space="preserve">    วันที่ 29   เดือน มิถุนายน  พ.ศ. 2561</t>
  </si>
  <si>
    <t>19040000</t>
  </si>
  <si>
    <t>29010000</t>
  </si>
  <si>
    <t>ยืมเงินจ่ายค่าอุปกรณ์การเรียนตามได้รับแจ้งจัดสรรแต่เงินยังไม่ได้รับ</t>
  </si>
  <si>
    <t>เลขที่  3/06/2561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</si>
  <si>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รายการจากสมุดเงินสดจ่ายไปยังบัญชีแยกประเภทที่เกี่ยวข้องประจำเดือนมิถุนายน 2561</t>
    </r>
  </si>
  <si>
    <t>วันที่  29 เดือน  มิถุนายน  พ.ศ. 2561</t>
  </si>
  <si>
    <t>วันที่  29  เดือน  มิถุนายน  พ.ศ. 2561</t>
  </si>
  <si>
    <t xml:space="preserve">    วันที่  29  เดือน มิถุนายน พ.ศ. 2561</t>
  </si>
  <si>
    <t>ณ วันที่   29  มิถุนายน 2561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</si>
</sst>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  <numFmt numFmtId="193" formatCode="&quot;฿&quot;#,##0.00"/>
    <numFmt numFmtId="194" formatCode="#,##0.00_ ;\-#,##0.00\ "/>
    <numFmt numFmtId="195" formatCode="0.000"/>
    <numFmt numFmtId="196" formatCode="_-* #,##0.000_-;\-* #,##0.000_-;_-* &quot;-&quot;??_-;_-@_-"/>
    <numFmt numFmtId="197" formatCode="#,##0.000_ ;\-#,##0.00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_-;\-* #,##0.0_-;_-* &quot;-&quot;??_-;_-@_-"/>
  </numFmts>
  <fonts count="87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sz val="10"/>
      <name val="TH SarabunPSK"/>
      <family val="2"/>
    </font>
    <font>
      <sz val="14"/>
      <name val="AngsanaUPC"/>
      <family val="1"/>
    </font>
    <font>
      <sz val="15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color indexed="4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 val="single"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 style="medium"/>
      <top/>
      <bottom style="medium"/>
    </border>
    <border>
      <left/>
      <right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3" fillId="0" borderId="0" xfId="36" applyFont="1" applyAlignment="1">
      <alignment vertical="center"/>
    </xf>
    <xf numFmtId="0" fontId="75" fillId="0" borderId="0" xfId="0" applyFont="1" applyAlignment="1">
      <alignment/>
    </xf>
    <xf numFmtId="43" fontId="5" fillId="0" borderId="0" xfId="3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/>
    </xf>
    <xf numFmtId="43" fontId="6" fillId="33" borderId="10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188" fontId="6" fillId="0" borderId="11" xfId="36" applyNumberFormat="1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188" fontId="6" fillId="0" borderId="10" xfId="36" applyNumberFormat="1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8" fontId="5" fillId="0" borderId="11" xfId="36" applyNumberFormat="1" applyFont="1" applyBorder="1" applyAlignment="1">
      <alignment vertical="center"/>
    </xf>
    <xf numFmtId="43" fontId="5" fillId="0" borderId="11" xfId="36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3" fontId="6" fillId="33" borderId="13" xfId="36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89" fontId="5" fillId="0" borderId="11" xfId="36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1" xfId="3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33" borderId="12" xfId="36" applyFont="1" applyFill="1" applyBorder="1" applyAlignment="1">
      <alignment vertical="center"/>
    </xf>
    <xf numFmtId="43" fontId="5" fillId="0" borderId="11" xfId="36" applyFont="1" applyBorder="1" applyAlignment="1">
      <alignment horizontal="right" vertical="center"/>
    </xf>
    <xf numFmtId="189" fontId="6" fillId="0" borderId="11" xfId="36" applyNumberFormat="1" applyFont="1" applyBorder="1" applyAlignment="1">
      <alignment vertical="center"/>
    </xf>
    <xf numFmtId="43" fontId="6" fillId="0" borderId="11" xfId="36" applyFont="1" applyBorder="1" applyAlignment="1">
      <alignment horizontal="right" vertical="center"/>
    </xf>
    <xf numFmtId="43" fontId="5" fillId="33" borderId="11" xfId="36" applyFont="1" applyFill="1" applyBorder="1" applyAlignment="1">
      <alignment vertical="center"/>
    </xf>
    <xf numFmtId="43" fontId="5" fillId="0" borderId="11" xfId="36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36" applyFont="1" applyBorder="1" applyAlignment="1">
      <alignment vertical="center"/>
    </xf>
    <xf numFmtId="189" fontId="5" fillId="0" borderId="0" xfId="36" applyNumberFormat="1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43" fontId="5" fillId="33" borderId="15" xfId="36" applyFont="1" applyFill="1" applyBorder="1" applyAlignment="1">
      <alignment vertical="center"/>
    </xf>
    <xf numFmtId="43" fontId="6" fillId="0" borderId="16" xfId="36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43" fontId="5" fillId="0" borderId="14" xfId="36" applyFont="1" applyBorder="1" applyAlignment="1">
      <alignment horizontal="right" vertical="center"/>
    </xf>
    <xf numFmtId="43" fontId="5" fillId="33" borderId="12" xfId="36" applyNumberFormat="1" applyFont="1" applyFill="1" applyBorder="1" applyAlignment="1">
      <alignment horizontal="right" vertical="center"/>
    </xf>
    <xf numFmtId="189" fontId="5" fillId="0" borderId="11" xfId="36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quotePrefix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33" borderId="16" xfId="36" applyFont="1" applyFill="1" applyBorder="1" applyAlignment="1">
      <alignment vertical="center"/>
    </xf>
    <xf numFmtId="43" fontId="5" fillId="0" borderId="17" xfId="36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77" fillId="0" borderId="0" xfId="36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33" borderId="11" xfId="36" applyFont="1" applyFill="1" applyBorder="1" applyAlignment="1">
      <alignment vertical="center"/>
    </xf>
    <xf numFmtId="43" fontId="78" fillId="0" borderId="11" xfId="36" applyFont="1" applyFill="1" applyBorder="1" applyAlignment="1">
      <alignment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43" fontId="6" fillId="33" borderId="10" xfId="36" applyFont="1" applyFill="1" applyBorder="1" applyAlignment="1">
      <alignment horizontal="right" vertical="center"/>
    </xf>
    <xf numFmtId="43" fontId="5" fillId="0" borderId="15" xfId="3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43" fontId="6" fillId="0" borderId="20" xfId="36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88" fontId="6" fillId="0" borderId="13" xfId="36" applyNumberFormat="1" applyFont="1" applyBorder="1" applyAlignment="1">
      <alignment horizontal="center" vertical="center"/>
    </xf>
    <xf numFmtId="189" fontId="5" fillId="0" borderId="15" xfId="36" applyNumberFormat="1" applyFont="1" applyBorder="1" applyAlignment="1">
      <alignment vertical="center"/>
    </xf>
    <xf numFmtId="189" fontId="5" fillId="0" borderId="21" xfId="36" applyNumberFormat="1" applyFont="1" applyBorder="1" applyAlignment="1">
      <alignment vertical="center"/>
    </xf>
    <xf numFmtId="43" fontId="5" fillId="0" borderId="21" xfId="36" applyFont="1" applyBorder="1" applyAlignment="1">
      <alignment vertical="center"/>
    </xf>
    <xf numFmtId="43" fontId="78" fillId="0" borderId="13" xfId="36" applyFont="1" applyFill="1" applyBorder="1" applyAlignment="1">
      <alignment vertical="center"/>
    </xf>
    <xf numFmtId="43" fontId="78" fillId="0" borderId="11" xfId="36" applyFont="1" applyBorder="1" applyAlignment="1">
      <alignment vertical="center"/>
    </xf>
    <xf numFmtId="43" fontId="78" fillId="0" borderId="11" xfId="36" applyFont="1" applyBorder="1" applyAlignment="1">
      <alignment horizontal="right" vertical="center"/>
    </xf>
    <xf numFmtId="43" fontId="6" fillId="0" borderId="15" xfId="36" applyFont="1" applyBorder="1" applyAlignment="1">
      <alignment horizontal="right" vertical="center"/>
    </xf>
    <xf numFmtId="189" fontId="6" fillId="0" borderId="12" xfId="0" applyNumberFormat="1" applyFont="1" applyBorder="1" applyAlignment="1">
      <alignment vertical="center"/>
    </xf>
    <xf numFmtId="188" fontId="5" fillId="0" borderId="13" xfId="36" applyNumberFormat="1" applyFont="1" applyBorder="1" applyAlignment="1">
      <alignment vertical="center"/>
    </xf>
    <xf numFmtId="43" fontId="8" fillId="0" borderId="11" xfId="36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36" applyNumberFormat="1" applyFont="1" applyFill="1" applyBorder="1" applyAlignment="1">
      <alignment/>
    </xf>
    <xf numFmtId="188" fontId="7" fillId="34" borderId="0" xfId="36" applyNumberFormat="1" applyFont="1" applyFill="1" applyBorder="1" applyAlignment="1">
      <alignment/>
    </xf>
    <xf numFmtId="43" fontId="7" fillId="34" borderId="0" xfId="36" applyFont="1" applyFill="1" applyAlignment="1">
      <alignment/>
    </xf>
    <xf numFmtId="43" fontId="7" fillId="34" borderId="0" xfId="36" applyFont="1" applyFill="1" applyAlignment="1">
      <alignment horizontal="right"/>
    </xf>
    <xf numFmtId="43" fontId="4" fillId="34" borderId="0" xfId="36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9" fontId="4" fillId="34" borderId="15" xfId="36" applyNumberFormat="1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 shrinkToFit="1"/>
    </xf>
    <xf numFmtId="43" fontId="3" fillId="0" borderId="11" xfId="36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/>
    </xf>
    <xf numFmtId="43" fontId="3" fillId="0" borderId="11" xfId="36" applyFont="1" applyFill="1" applyBorder="1" applyAlignment="1">
      <alignment horizontal="center"/>
    </xf>
    <xf numFmtId="43" fontId="3" fillId="34" borderId="22" xfId="36" applyNumberFormat="1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 shrinkToFit="1"/>
    </xf>
    <xf numFmtId="0" fontId="80" fillId="0" borderId="23" xfId="0" applyFont="1" applyFill="1" applyBorder="1" applyAlignment="1">
      <alignment horizontal="left" shrinkToFit="1"/>
    </xf>
    <xf numFmtId="43" fontId="81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horizontal="center"/>
    </xf>
    <xf numFmtId="43" fontId="4" fillId="0" borderId="23" xfId="36" applyFont="1" applyFill="1" applyBorder="1" applyAlignment="1">
      <alignment horizontal="center"/>
    </xf>
    <xf numFmtId="43" fontId="3" fillId="34" borderId="23" xfId="36" applyNumberFormat="1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 shrinkToFit="1"/>
    </xf>
    <xf numFmtId="43" fontId="83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shrinkToFit="1"/>
    </xf>
    <xf numFmtId="43" fontId="3" fillId="0" borderId="24" xfId="36" applyFont="1" applyFill="1" applyBorder="1" applyAlignment="1">
      <alignment shrinkToFit="1"/>
    </xf>
    <xf numFmtId="43" fontId="80" fillId="0" borderId="23" xfId="36" applyFont="1" applyFill="1" applyBorder="1" applyAlignment="1">
      <alignment horizontal="center"/>
    </xf>
    <xf numFmtId="43" fontId="3" fillId="34" borderId="23" xfId="36" applyFont="1" applyFill="1" applyBorder="1" applyAlignment="1">
      <alignment shrinkToFit="1"/>
    </xf>
    <xf numFmtId="0" fontId="80" fillId="0" borderId="23" xfId="0" applyFont="1" applyFill="1" applyBorder="1" applyAlignment="1">
      <alignment horizontal="center" vertical="center" shrinkToFit="1"/>
    </xf>
    <xf numFmtId="0" fontId="80" fillId="0" borderId="23" xfId="0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vertical="center" shrinkToFit="1"/>
    </xf>
    <xf numFmtId="43" fontId="7" fillId="0" borderId="0" xfId="0" applyNumberFormat="1" applyFont="1" applyFill="1" applyAlignment="1">
      <alignment/>
    </xf>
    <xf numFmtId="0" fontId="84" fillId="0" borderId="16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43" fontId="14" fillId="0" borderId="16" xfId="36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shrinkToFit="1"/>
    </xf>
    <xf numFmtId="188" fontId="7" fillId="0" borderId="23" xfId="36" applyNumberFormat="1" applyFont="1" applyFill="1" applyBorder="1" applyAlignment="1">
      <alignment/>
    </xf>
    <xf numFmtId="188" fontId="7" fillId="34" borderId="23" xfId="36" applyNumberFormat="1" applyFont="1" applyFill="1" applyBorder="1" applyAlignment="1">
      <alignment/>
    </xf>
    <xf numFmtId="43" fontId="7" fillId="0" borderId="0" xfId="36" applyFont="1" applyFill="1" applyAlignment="1">
      <alignment/>
    </xf>
    <xf numFmtId="0" fontId="11" fillId="0" borderId="0" xfId="0" applyFont="1" applyBorder="1" applyAlignment="1">
      <alignment horizontal="left" vertical="center"/>
    </xf>
    <xf numFmtId="43" fontId="3" fillId="34" borderId="24" xfId="36" applyNumberFormat="1" applyFont="1" applyFill="1" applyBorder="1" applyAlignment="1">
      <alignment horizontal="center"/>
    </xf>
    <xf numFmtId="43" fontId="3" fillId="34" borderId="24" xfId="36" applyFont="1" applyFill="1" applyBorder="1" applyAlignment="1">
      <alignment shrinkToFit="1"/>
    </xf>
    <xf numFmtId="0" fontId="85" fillId="0" borderId="23" xfId="0" applyFont="1" applyFill="1" applyBorder="1" applyAlignment="1">
      <alignment horizontal="left" vertical="center" shrinkToFit="1"/>
    </xf>
    <xf numFmtId="43" fontId="80" fillId="0" borderId="23" xfId="36" applyFont="1" applyFill="1" applyBorder="1" applyAlignment="1">
      <alignment horizontal="left" vertical="center" shrinkToFit="1"/>
    </xf>
    <xf numFmtId="190" fontId="5" fillId="0" borderId="25" xfId="0" applyNumberFormat="1" applyFont="1" applyBorder="1" applyAlignment="1" quotePrefix="1">
      <alignment horizontal="center" vertical="center"/>
    </xf>
    <xf numFmtId="0" fontId="80" fillId="0" borderId="11" xfId="0" applyFont="1" applyFill="1" applyBorder="1" applyAlignment="1">
      <alignment horizontal="center" vertical="center" shrinkToFit="1"/>
    </xf>
    <xf numFmtId="0" fontId="85" fillId="0" borderId="11" xfId="0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vertical="center" shrinkToFit="1"/>
    </xf>
    <xf numFmtId="43" fontId="3" fillId="0" borderId="0" xfId="36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3" fontId="3" fillId="0" borderId="30" xfId="36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4" fillId="0" borderId="28" xfId="36" applyFont="1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3" fontId="4" fillId="0" borderId="0" xfId="36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43" fontId="4" fillId="0" borderId="28" xfId="36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 quotePrefix="1">
      <alignment horizontal="center" vertical="center"/>
    </xf>
    <xf numFmtId="43" fontId="3" fillId="0" borderId="38" xfId="36" applyFont="1" applyBorder="1" applyAlignment="1">
      <alignment vertical="center"/>
    </xf>
    <xf numFmtId="43" fontId="3" fillId="0" borderId="39" xfId="36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3" fontId="3" fillId="0" borderId="40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43" fontId="3" fillId="0" borderId="44" xfId="36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43" xfId="0" applyFont="1" applyFill="1" applyBorder="1" applyAlignment="1">
      <alignment horizontal="center" shrinkToFit="1"/>
    </xf>
    <xf numFmtId="0" fontId="3" fillId="0" borderId="45" xfId="0" applyFont="1" applyBorder="1" applyAlignment="1" quotePrefix="1">
      <alignment horizontal="center" vertical="center"/>
    </xf>
    <xf numFmtId="0" fontId="3" fillId="35" borderId="41" xfId="0" applyFont="1" applyFill="1" applyBorder="1" applyAlignment="1">
      <alignment vertical="center"/>
    </xf>
    <xf numFmtId="0" fontId="3" fillId="35" borderId="42" xfId="0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center"/>
    </xf>
    <xf numFmtId="43" fontId="3" fillId="35" borderId="44" xfId="36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3" fillId="35" borderId="43" xfId="0" applyFont="1" applyFill="1" applyBorder="1" applyAlignment="1" quotePrefix="1">
      <alignment horizontal="center" vertical="center"/>
    </xf>
    <xf numFmtId="43" fontId="80" fillId="35" borderId="43" xfId="36" applyFont="1" applyFill="1" applyBorder="1" applyAlignment="1">
      <alignment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49" fontId="3" fillId="35" borderId="43" xfId="0" applyNumberFormat="1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43" fontId="3" fillId="35" borderId="43" xfId="36" applyFont="1" applyFill="1" applyBorder="1" applyAlignment="1">
      <alignment vertical="center"/>
    </xf>
    <xf numFmtId="0" fontId="3" fillId="35" borderId="47" xfId="0" applyFont="1" applyFill="1" applyBorder="1" applyAlignment="1">
      <alignment horizontal="center" vertical="center"/>
    </xf>
    <xf numFmtId="43" fontId="4" fillId="35" borderId="48" xfId="36" applyFont="1" applyFill="1" applyBorder="1" applyAlignment="1">
      <alignment vertical="center"/>
    </xf>
    <xf numFmtId="43" fontId="4" fillId="35" borderId="49" xfId="36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43" fontId="4" fillId="0" borderId="0" xfId="36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43" fontId="4" fillId="0" borderId="52" xfId="36" applyFont="1" applyBorder="1" applyAlignment="1">
      <alignment horizontal="center" vertical="center"/>
    </xf>
    <xf numFmtId="43" fontId="4" fillId="0" borderId="53" xfId="36" applyFont="1" applyBorder="1" applyAlignment="1">
      <alignment horizontal="center" vertical="center"/>
    </xf>
    <xf numFmtId="43" fontId="3" fillId="0" borderId="54" xfId="36" applyFont="1" applyFill="1" applyBorder="1" applyAlignment="1">
      <alignment vertical="center"/>
    </xf>
    <xf numFmtId="43" fontId="3" fillId="0" borderId="55" xfId="36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43" fontId="3" fillId="0" borderId="46" xfId="36" applyFont="1" applyFill="1" applyBorder="1" applyAlignment="1">
      <alignment vertical="center"/>
    </xf>
    <xf numFmtId="43" fontId="3" fillId="0" borderId="56" xfId="36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3" fontId="3" fillId="0" borderId="23" xfId="36" applyFont="1" applyFill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43" fontId="20" fillId="0" borderId="61" xfId="36" applyFont="1" applyBorder="1" applyAlignment="1">
      <alignment vertical="center"/>
    </xf>
    <xf numFmtId="43" fontId="4" fillId="0" borderId="16" xfId="36" applyFont="1" applyBorder="1" applyAlignment="1">
      <alignment vertical="center"/>
    </xf>
    <xf numFmtId="43" fontId="4" fillId="0" borderId="62" xfId="3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0" fillId="0" borderId="0" xfId="36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43" fontId="3" fillId="0" borderId="63" xfId="36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36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3" fontId="4" fillId="0" borderId="0" xfId="36" applyFont="1" applyFill="1" applyBorder="1" applyAlignment="1">
      <alignment vertical="center"/>
    </xf>
    <xf numFmtId="43" fontId="4" fillId="0" borderId="0" xfId="36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43" fontId="3" fillId="0" borderId="24" xfId="36" applyFont="1" applyFill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43" fontId="3" fillId="0" borderId="50" xfId="36" applyFont="1" applyFill="1" applyBorder="1" applyAlignment="1">
      <alignment vertical="center"/>
    </xf>
    <xf numFmtId="43" fontId="3" fillId="0" borderId="50" xfId="36" applyFont="1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vertical="center"/>
    </xf>
    <xf numFmtId="43" fontId="21" fillId="0" borderId="0" xfId="36" applyFont="1" applyBorder="1" applyAlignment="1">
      <alignment horizontal="center" shrinkToFit="1"/>
    </xf>
    <xf numFmtId="43" fontId="7" fillId="0" borderId="22" xfId="36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1" fillId="0" borderId="15" xfId="0" applyFont="1" applyBorder="1" applyAlignment="1">
      <alignment horizontal="center" shrinkToFit="1"/>
    </xf>
    <xf numFmtId="43" fontId="7" fillId="36" borderId="15" xfId="36" applyFont="1" applyFill="1" applyBorder="1" applyAlignment="1">
      <alignment horizontal="center" shrinkToFit="1"/>
    </xf>
    <xf numFmtId="0" fontId="21" fillId="36" borderId="15" xfId="0" applyFont="1" applyFill="1" applyBorder="1" applyAlignment="1">
      <alignment horizontal="center" shrinkToFit="1"/>
    </xf>
    <xf numFmtId="43" fontId="7" fillId="37" borderId="15" xfId="36" applyFont="1" applyFill="1" applyBorder="1" applyAlignment="1">
      <alignment horizontal="center" shrinkToFit="1"/>
    </xf>
    <xf numFmtId="43" fontId="7" fillId="38" borderId="15" xfId="36" applyFont="1" applyFill="1" applyBorder="1" applyAlignment="1">
      <alignment horizontal="center" shrinkToFit="1"/>
    </xf>
    <xf numFmtId="43" fontId="7" fillId="39" borderId="15" xfId="36" applyFont="1" applyFill="1" applyBorder="1" applyAlignment="1">
      <alignment horizontal="center" shrinkToFit="1"/>
    </xf>
    <xf numFmtId="43" fontId="7" fillId="40" borderId="15" xfId="36" applyFont="1" applyFill="1" applyBorder="1" applyAlignment="1">
      <alignment horizontal="center" shrinkToFit="1"/>
    </xf>
    <xf numFmtId="43" fontId="7" fillId="41" borderId="15" xfId="36" applyFont="1" applyFill="1" applyBorder="1" applyAlignment="1">
      <alignment horizontal="center" shrinkToFit="1"/>
    </xf>
    <xf numFmtId="43" fontId="7" fillId="42" borderId="15" xfId="36" applyFont="1" applyFill="1" applyBorder="1" applyAlignment="1">
      <alignment horizontal="center" shrinkToFit="1"/>
    </xf>
    <xf numFmtId="43" fontId="7" fillId="43" borderId="15" xfId="36" applyFont="1" applyFill="1" applyBorder="1" applyAlignment="1">
      <alignment horizontal="center" shrinkToFit="1"/>
    </xf>
    <xf numFmtId="43" fontId="7" fillId="44" borderId="15" xfId="36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left" shrinkToFit="1"/>
    </xf>
    <xf numFmtId="0" fontId="3" fillId="0" borderId="22" xfId="0" applyFont="1" applyFill="1" applyBorder="1" applyAlignment="1" quotePrefix="1">
      <alignment horizontal="center" shrinkToFit="1"/>
    </xf>
    <xf numFmtId="43" fontId="3" fillId="36" borderId="22" xfId="36" applyFont="1" applyFill="1" applyBorder="1" applyAlignment="1">
      <alignment shrinkToFit="1"/>
    </xf>
    <xf numFmtId="43" fontId="3" fillId="37" borderId="22" xfId="36" applyFont="1" applyFill="1" applyBorder="1" applyAlignment="1">
      <alignment shrinkToFit="1"/>
    </xf>
    <xf numFmtId="43" fontId="3" fillId="38" borderId="22" xfId="36" applyFont="1" applyFill="1" applyBorder="1" applyAlignment="1">
      <alignment shrinkToFit="1"/>
    </xf>
    <xf numFmtId="43" fontId="3" fillId="39" borderId="22" xfId="36" applyFont="1" applyFill="1" applyBorder="1" applyAlignment="1">
      <alignment shrinkToFit="1"/>
    </xf>
    <xf numFmtId="43" fontId="3" fillId="40" borderId="22" xfId="36" applyFont="1" applyFill="1" applyBorder="1" applyAlignment="1">
      <alignment shrinkToFit="1"/>
    </xf>
    <xf numFmtId="43" fontId="3" fillId="41" borderId="22" xfId="36" applyFont="1" applyFill="1" applyBorder="1" applyAlignment="1">
      <alignment shrinkToFit="1"/>
    </xf>
    <xf numFmtId="43" fontId="3" fillId="42" borderId="22" xfId="36" applyFont="1" applyFill="1" applyBorder="1" applyAlignment="1">
      <alignment shrinkToFit="1"/>
    </xf>
    <xf numFmtId="43" fontId="3" fillId="43" borderId="22" xfId="36" applyFont="1" applyFill="1" applyBorder="1" applyAlignment="1">
      <alignment shrinkToFit="1"/>
    </xf>
    <xf numFmtId="43" fontId="3" fillId="44" borderId="22" xfId="36" applyFont="1" applyFill="1" applyBorder="1" applyAlignment="1">
      <alignment shrinkToFit="1"/>
    </xf>
    <xf numFmtId="43" fontId="3" fillId="0" borderId="0" xfId="36" applyFont="1" applyAlignment="1">
      <alignment shrinkToFit="1"/>
    </xf>
    <xf numFmtId="43" fontId="3" fillId="38" borderId="23" xfId="36" applyFont="1" applyFill="1" applyBorder="1" applyAlignment="1">
      <alignment shrinkToFit="1"/>
    </xf>
    <xf numFmtId="43" fontId="3" fillId="39" borderId="23" xfId="36" applyFont="1" applyFill="1" applyBorder="1" applyAlignment="1">
      <alignment shrinkToFit="1"/>
    </xf>
    <xf numFmtId="43" fontId="3" fillId="40" borderId="23" xfId="36" applyFont="1" applyFill="1" applyBorder="1" applyAlignment="1">
      <alignment shrinkToFit="1"/>
    </xf>
    <xf numFmtId="43" fontId="3" fillId="42" borderId="23" xfId="36" applyFont="1" applyFill="1" applyBorder="1" applyAlignment="1">
      <alignment shrinkToFit="1"/>
    </xf>
    <xf numFmtId="43" fontId="3" fillId="44" borderId="23" xfId="36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22" xfId="0" applyNumberFormat="1" applyFont="1" applyFill="1" applyBorder="1" applyAlignment="1">
      <alignment horizontal="center" shrinkToFit="1"/>
    </xf>
    <xf numFmtId="43" fontId="22" fillId="0" borderId="0" xfId="0" applyNumberFormat="1" applyFont="1" applyAlignment="1">
      <alignment shrinkToFit="1"/>
    </xf>
    <xf numFmtId="0" fontId="3" fillId="0" borderId="23" xfId="0" applyFont="1" applyFill="1" applyBorder="1" applyAlignment="1">
      <alignment horizontal="left" shrinkToFit="1"/>
    </xf>
    <xf numFmtId="43" fontId="4" fillId="37" borderId="22" xfId="36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horizontal="center" shrinkToFit="1"/>
    </xf>
    <xf numFmtId="43" fontId="3" fillId="37" borderId="23" xfId="36" applyFont="1" applyFill="1" applyBorder="1" applyAlignment="1">
      <alignment shrinkToFit="1"/>
    </xf>
    <xf numFmtId="43" fontId="3" fillId="36" borderId="23" xfId="36" applyFont="1" applyFill="1" applyBorder="1" applyAlignment="1">
      <alignment shrinkToFit="1"/>
    </xf>
    <xf numFmtId="43" fontId="3" fillId="41" borderId="23" xfId="36" applyFont="1" applyFill="1" applyBorder="1" applyAlignment="1">
      <alignment shrinkToFit="1"/>
    </xf>
    <xf numFmtId="43" fontId="20" fillId="37" borderId="23" xfId="36" applyFont="1" applyFill="1" applyBorder="1" applyAlignment="1">
      <alignment shrinkToFit="1"/>
    </xf>
    <xf numFmtId="43" fontId="20" fillId="38" borderId="23" xfId="36" applyFont="1" applyFill="1" applyBorder="1" applyAlignment="1">
      <alignment shrinkToFit="1"/>
    </xf>
    <xf numFmtId="43" fontId="86" fillId="41" borderId="22" xfId="36" applyFont="1" applyFill="1" applyBorder="1" applyAlignment="1">
      <alignment shrinkToFit="1"/>
    </xf>
    <xf numFmtId="43" fontId="20" fillId="42" borderId="23" xfId="36" applyFont="1" applyFill="1" applyBorder="1" applyAlignment="1">
      <alignment shrinkToFit="1"/>
    </xf>
    <xf numFmtId="43" fontId="80" fillId="44" borderId="23" xfId="36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7" fillId="2" borderId="22" xfId="0" applyFont="1" applyFill="1" applyBorder="1" applyAlignment="1">
      <alignment horizontal="left" shrinkToFit="1"/>
    </xf>
    <xf numFmtId="0" fontId="3" fillId="2" borderId="22" xfId="0" applyFont="1" applyFill="1" applyBorder="1" applyAlignment="1" quotePrefix="1">
      <alignment horizontal="center" shrinkToFit="1"/>
    </xf>
    <xf numFmtId="43" fontId="3" fillId="2" borderId="22" xfId="36" applyFont="1" applyFill="1" applyBorder="1" applyAlignment="1">
      <alignment shrinkToFit="1"/>
    </xf>
    <xf numFmtId="43" fontId="20" fillId="2" borderId="23" xfId="36" applyFont="1" applyFill="1" applyBorder="1" applyAlignment="1">
      <alignment shrinkToFit="1"/>
    </xf>
    <xf numFmtId="43" fontId="3" fillId="2" borderId="23" xfId="36" applyFont="1" applyFill="1" applyBorder="1" applyAlignment="1">
      <alignment shrinkToFit="1"/>
    </xf>
    <xf numFmtId="43" fontId="20" fillId="2" borderId="0" xfId="0" applyNumberFormat="1" applyFont="1" applyFill="1" applyAlignment="1">
      <alignment shrinkToFit="1"/>
    </xf>
    <xf numFmtId="0" fontId="20" fillId="2" borderId="0" xfId="0" applyFont="1" applyFill="1" applyAlignment="1">
      <alignment shrinkToFit="1"/>
    </xf>
    <xf numFmtId="43" fontId="20" fillId="36" borderId="23" xfId="36" applyFont="1" applyFill="1" applyBorder="1" applyAlignment="1">
      <alignment shrinkToFit="1"/>
    </xf>
    <xf numFmtId="43" fontId="20" fillId="41" borderId="23" xfId="36" applyFont="1" applyFill="1" applyBorder="1" applyAlignment="1">
      <alignment shrinkToFit="1"/>
    </xf>
    <xf numFmtId="43" fontId="20" fillId="44" borderId="23" xfId="36" applyFont="1" applyFill="1" applyBorder="1" applyAlignment="1">
      <alignment shrinkToFit="1"/>
    </xf>
    <xf numFmtId="0" fontId="7" fillId="2" borderId="23" xfId="0" applyFont="1" applyFill="1" applyBorder="1" applyAlignment="1">
      <alignment horizontal="left" shrinkToFit="1"/>
    </xf>
    <xf numFmtId="0" fontId="3" fillId="2" borderId="23" xfId="0" applyFont="1" applyFill="1" applyBorder="1" applyAlignment="1">
      <alignment horizontal="center" shrinkToFit="1"/>
    </xf>
    <xf numFmtId="0" fontId="11" fillId="2" borderId="23" xfId="0" applyFont="1" applyFill="1" applyBorder="1" applyAlignment="1">
      <alignment horizontal="left" shrinkToFit="1"/>
    </xf>
    <xf numFmtId="43" fontId="20" fillId="0" borderId="0" xfId="0" applyNumberFormat="1" applyFont="1" applyAlignment="1">
      <alignment shrinkToFit="1"/>
    </xf>
    <xf numFmtId="43" fontId="86" fillId="41" borderId="23" xfId="36" applyFont="1" applyFill="1" applyBorder="1" applyAlignment="1">
      <alignment shrinkToFit="1"/>
    </xf>
    <xf numFmtId="0" fontId="23" fillId="0" borderId="4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shrinkToFit="1"/>
    </xf>
    <xf numFmtId="0" fontId="3" fillId="0" borderId="64" xfId="0" applyFont="1" applyFill="1" applyBorder="1" applyAlignment="1">
      <alignment horizontal="center" shrinkToFit="1"/>
    </xf>
    <xf numFmtId="43" fontId="3" fillId="37" borderId="24" xfId="36" applyFont="1" applyFill="1" applyBorder="1" applyAlignment="1">
      <alignment shrinkToFit="1"/>
    </xf>
    <xf numFmtId="43" fontId="3" fillId="38" borderId="24" xfId="36" applyFont="1" applyFill="1" applyBorder="1" applyAlignment="1">
      <alignment shrinkToFit="1"/>
    </xf>
    <xf numFmtId="43" fontId="3" fillId="40" borderId="24" xfId="36" applyFont="1" applyFill="1" applyBorder="1" applyAlignment="1">
      <alignment shrinkToFit="1"/>
    </xf>
    <xf numFmtId="43" fontId="20" fillId="41" borderId="24" xfId="36" applyFont="1" applyFill="1" applyBorder="1" applyAlignment="1">
      <alignment shrinkToFit="1"/>
    </xf>
    <xf numFmtId="43" fontId="3" fillId="42" borderId="24" xfId="36" applyFont="1" applyFill="1" applyBorder="1" applyAlignment="1">
      <alignment shrinkToFit="1"/>
    </xf>
    <xf numFmtId="43" fontId="3" fillId="43" borderId="11" xfId="36" applyFont="1" applyFill="1" applyBorder="1" applyAlignment="1">
      <alignment shrinkToFit="1"/>
    </xf>
    <xf numFmtId="0" fontId="3" fillId="0" borderId="64" xfId="0" applyFont="1" applyFill="1" applyBorder="1" applyAlignment="1" quotePrefix="1">
      <alignment horizontal="center" shrinkToFit="1"/>
    </xf>
    <xf numFmtId="43" fontId="80" fillId="36" borderId="23" xfId="36" applyFont="1" applyFill="1" applyBorder="1" applyAlignment="1">
      <alignment shrinkToFit="1"/>
    </xf>
    <xf numFmtId="43" fontId="3" fillId="41" borderId="24" xfId="36" applyFont="1" applyFill="1" applyBorder="1" applyAlignment="1">
      <alignment shrinkToFit="1"/>
    </xf>
    <xf numFmtId="43" fontId="22" fillId="43" borderId="23" xfId="36" applyFont="1" applyFill="1" applyBorder="1" applyAlignment="1">
      <alignment shrinkToFit="1"/>
    </xf>
    <xf numFmtId="43" fontId="3" fillId="44" borderId="24" xfId="36" applyFont="1" applyFill="1" applyBorder="1" applyAlignment="1">
      <alignment shrinkToFit="1"/>
    </xf>
    <xf numFmtId="43" fontId="86" fillId="0" borderId="0" xfId="0" applyNumberFormat="1" applyFont="1" applyAlignment="1">
      <alignment shrinkToFit="1"/>
    </xf>
    <xf numFmtId="0" fontId="3" fillId="0" borderId="22" xfId="0" applyFont="1" applyFill="1" applyBorder="1" applyAlignment="1">
      <alignment horizontal="center" shrinkToFit="1"/>
    </xf>
    <xf numFmtId="43" fontId="3" fillId="43" borderId="23" xfId="36" applyFont="1" applyFill="1" applyBorder="1" applyAlignment="1">
      <alignment shrinkToFit="1"/>
    </xf>
    <xf numFmtId="0" fontId="3" fillId="0" borderId="0" xfId="0" applyFont="1" applyFill="1" applyBorder="1" applyAlignment="1" quotePrefix="1">
      <alignment horizontal="center" shrinkToFit="1"/>
    </xf>
    <xf numFmtId="43" fontId="3" fillId="36" borderId="11" xfId="36" applyFont="1" applyFill="1" applyBorder="1" applyAlignment="1">
      <alignment shrinkToFit="1"/>
    </xf>
    <xf numFmtId="43" fontId="22" fillId="36" borderId="24" xfId="36" applyFont="1" applyFill="1" applyBorder="1" applyAlignment="1">
      <alignment shrinkToFit="1"/>
    </xf>
    <xf numFmtId="43" fontId="24" fillId="43" borderId="22" xfId="36" applyFont="1" applyFill="1" applyBorder="1" applyAlignment="1">
      <alignment shrinkToFit="1"/>
    </xf>
    <xf numFmtId="43" fontId="22" fillId="36" borderId="22" xfId="36" applyFont="1" applyFill="1" applyBorder="1" applyAlignment="1">
      <alignment shrinkToFit="1"/>
    </xf>
    <xf numFmtId="43" fontId="3" fillId="36" borderId="23" xfId="36" applyFont="1" applyFill="1" applyBorder="1" applyAlignment="1">
      <alignment horizontal="center" shrinkToFit="1"/>
    </xf>
    <xf numFmtId="43" fontId="22" fillId="41" borderId="23" xfId="36" applyFont="1" applyFill="1" applyBorder="1" applyAlignment="1">
      <alignment shrinkToFit="1"/>
    </xf>
    <xf numFmtId="43" fontId="22" fillId="42" borderId="23" xfId="36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80" fillId="36" borderId="22" xfId="36" applyFont="1" applyFill="1" applyBorder="1" applyAlignment="1">
      <alignment shrinkToFit="1"/>
    </xf>
    <xf numFmtId="43" fontId="22" fillId="43" borderId="22" xfId="36" applyFont="1" applyFill="1" applyBorder="1" applyAlignment="1">
      <alignment shrinkToFit="1"/>
    </xf>
    <xf numFmtId="0" fontId="3" fillId="0" borderId="65" xfId="0" applyFont="1" applyFill="1" applyBorder="1" applyAlignment="1">
      <alignment horizontal="left" shrinkToFit="1"/>
    </xf>
    <xf numFmtId="0" fontId="3" fillId="0" borderId="61" xfId="0" applyFont="1" applyFill="1" applyBorder="1" applyAlignment="1">
      <alignment horizontal="center" shrinkToFit="1"/>
    </xf>
    <xf numFmtId="43" fontId="22" fillId="36" borderId="11" xfId="36" applyFont="1" applyFill="1" applyBorder="1" applyAlignment="1">
      <alignment shrinkToFit="1"/>
    </xf>
    <xf numFmtId="43" fontId="3" fillId="36" borderId="11" xfId="36" applyFont="1" applyFill="1" applyBorder="1" applyAlignment="1">
      <alignment horizontal="center" shrinkToFit="1"/>
    </xf>
    <xf numFmtId="43" fontId="3" fillId="37" borderId="11" xfId="36" applyFont="1" applyFill="1" applyBorder="1" applyAlignment="1">
      <alignment shrinkToFit="1"/>
    </xf>
    <xf numFmtId="43" fontId="3" fillId="40" borderId="11" xfId="36" applyFont="1" applyFill="1" applyBorder="1" applyAlignment="1">
      <alignment shrinkToFit="1"/>
    </xf>
    <xf numFmtId="43" fontId="22" fillId="41" borderId="11" xfId="36" applyFont="1" applyFill="1" applyBorder="1" applyAlignment="1">
      <alignment shrinkToFit="1"/>
    </xf>
    <xf numFmtId="43" fontId="22" fillId="42" borderId="11" xfId="36" applyFont="1" applyFill="1" applyBorder="1" applyAlignment="1">
      <alignment shrinkToFit="1"/>
    </xf>
    <xf numFmtId="43" fontId="22" fillId="43" borderId="11" xfId="36" applyFont="1" applyFill="1" applyBorder="1" applyAlignment="1">
      <alignment shrinkToFit="1"/>
    </xf>
    <xf numFmtId="43" fontId="3" fillId="44" borderId="11" xfId="36" applyFont="1" applyFill="1" applyBorder="1" applyAlignment="1">
      <alignment shrinkToFit="1"/>
    </xf>
    <xf numFmtId="0" fontId="4" fillId="0" borderId="15" xfId="0" applyFont="1" applyFill="1" applyBorder="1" applyAlignment="1">
      <alignment horizontal="left" shrinkToFit="1"/>
    </xf>
    <xf numFmtId="43" fontId="25" fillId="44" borderId="16" xfId="36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5" fillId="45" borderId="0" xfId="36" applyFont="1" applyFill="1" applyBorder="1" applyAlignment="1">
      <alignment horizontal="center" shrinkToFit="1"/>
    </xf>
    <xf numFmtId="43" fontId="25" fillId="36" borderId="0" xfId="36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shrinkToFit="1"/>
    </xf>
    <xf numFmtId="43" fontId="3" fillId="38" borderId="0" xfId="36" applyFont="1" applyFill="1" applyAlignment="1">
      <alignment shrinkToFit="1"/>
    </xf>
    <xf numFmtId="43" fontId="3" fillId="39" borderId="0" xfId="36" applyFont="1" applyFill="1" applyAlignment="1">
      <alignment shrinkToFit="1"/>
    </xf>
    <xf numFmtId="43" fontId="3" fillId="40" borderId="0" xfId="36" applyFont="1" applyFill="1" applyAlignment="1">
      <alignment shrinkToFit="1"/>
    </xf>
    <xf numFmtId="43" fontId="3" fillId="41" borderId="0" xfId="36" applyFont="1" applyFill="1" applyAlignment="1">
      <alignment shrinkToFit="1"/>
    </xf>
    <xf numFmtId="43" fontId="3" fillId="42" borderId="0" xfId="36" applyFont="1" applyFill="1" applyAlignment="1">
      <alignment shrinkToFit="1"/>
    </xf>
    <xf numFmtId="43" fontId="3" fillId="43" borderId="0" xfId="36" applyFont="1" applyFill="1" applyAlignment="1">
      <alignment shrinkToFit="1"/>
    </xf>
    <xf numFmtId="43" fontId="3" fillId="44" borderId="0" xfId="36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45" borderId="0" xfId="36" applyFont="1" applyFill="1" applyBorder="1" applyAlignment="1">
      <alignment horizontal="left" shrinkToFit="1"/>
    </xf>
    <xf numFmtId="0" fontId="3" fillId="36" borderId="0" xfId="0" applyFont="1" applyFill="1" applyBorder="1" applyAlignment="1">
      <alignment horizontal="left" shrinkToFit="1"/>
    </xf>
    <xf numFmtId="43" fontId="3" fillId="37" borderId="0" xfId="36" applyFont="1" applyFill="1" applyBorder="1" applyAlignment="1">
      <alignment horizontal="left" shrinkToFit="1"/>
    </xf>
    <xf numFmtId="0" fontId="3" fillId="36" borderId="0" xfId="0" applyFont="1" applyFill="1" applyAlignment="1">
      <alignment shrinkToFit="1"/>
    </xf>
    <xf numFmtId="43" fontId="3" fillId="37" borderId="0" xfId="36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45" borderId="0" xfId="0" applyFont="1" applyFill="1" applyAlignment="1">
      <alignment shrinkToFit="1"/>
    </xf>
    <xf numFmtId="0" fontId="3" fillId="36" borderId="0" xfId="0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43" fontId="3" fillId="0" borderId="66" xfId="36" applyFont="1" applyFill="1" applyBorder="1" applyAlignment="1">
      <alignment vertical="center"/>
    </xf>
    <xf numFmtId="43" fontId="3" fillId="0" borderId="23" xfId="36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3" fontId="3" fillId="0" borderId="22" xfId="36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3" fontId="3" fillId="35" borderId="22" xfId="36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3" fontId="3" fillId="0" borderId="23" xfId="3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4" fillId="0" borderId="15" xfId="3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52" xfId="36" applyFont="1" applyBorder="1" applyAlignment="1">
      <alignment vertical="center"/>
    </xf>
    <xf numFmtId="43" fontId="4" fillId="33" borderId="52" xfId="36" applyFont="1" applyFill="1" applyBorder="1" applyAlignment="1">
      <alignment vertical="center"/>
    </xf>
    <xf numFmtId="43" fontId="3" fillId="0" borderId="11" xfId="36" applyFont="1" applyBorder="1" applyAlignment="1">
      <alignment horizontal="right" vertical="center"/>
    </xf>
    <xf numFmtId="43" fontId="3" fillId="33" borderId="11" xfId="36" applyFont="1" applyFill="1" applyBorder="1" applyAlignment="1">
      <alignment horizontal="right" vertical="center"/>
    </xf>
    <xf numFmtId="43" fontId="3" fillId="0" borderId="11" xfId="3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91" fontId="3" fillId="0" borderId="10" xfId="36" applyNumberFormat="1" applyFont="1" applyBorder="1" applyAlignment="1">
      <alignment vertical="center"/>
    </xf>
    <xf numFmtId="191" fontId="3" fillId="33" borderId="10" xfId="3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36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43" fontId="3" fillId="0" borderId="22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0" borderId="7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43" fontId="3" fillId="0" borderId="23" xfId="36" applyNumberFormat="1" applyFont="1" applyBorder="1" applyAlignment="1">
      <alignment vertical="center"/>
    </xf>
    <xf numFmtId="0" fontId="7" fillId="0" borderId="7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43" fontId="3" fillId="0" borderId="24" xfId="36" applyFont="1" applyBorder="1" applyAlignment="1">
      <alignment vertical="center"/>
    </xf>
    <xf numFmtId="0" fontId="7" fillId="0" borderId="70" xfId="0" applyFont="1" applyBorder="1" applyAlignment="1">
      <alignment horizontal="left" vertical="center" shrinkToFit="1"/>
    </xf>
    <xf numFmtId="0" fontId="3" fillId="0" borderId="32" xfId="0" applyFont="1" applyBorder="1" applyAlignment="1">
      <alignment/>
    </xf>
    <xf numFmtId="43" fontId="3" fillId="0" borderId="24" xfId="36" applyNumberFormat="1" applyFont="1" applyBorder="1" applyAlignment="1">
      <alignment vertical="center"/>
    </xf>
    <xf numFmtId="0" fontId="3" fillId="0" borderId="70" xfId="0" applyFont="1" applyBorder="1" applyAlignment="1">
      <alignment/>
    </xf>
    <xf numFmtId="43" fontId="4" fillId="0" borderId="28" xfId="36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3" fillId="0" borderId="72" xfId="0" applyFont="1" applyBorder="1" applyAlignment="1">
      <alignment horizontal="right" vertical="center"/>
    </xf>
    <xf numFmtId="0" fontId="3" fillId="0" borderId="7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4" fillId="0" borderId="50" xfId="36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73" xfId="36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3" fontId="4" fillId="0" borderId="74" xfId="36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75" xfId="0" applyFont="1" applyBorder="1" applyAlignment="1">
      <alignment vertical="center"/>
    </xf>
    <xf numFmtId="43" fontId="4" fillId="0" borderId="34" xfId="36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/>
    </xf>
    <xf numFmtId="43" fontId="4" fillId="0" borderId="73" xfId="36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43" fontId="4" fillId="0" borderId="50" xfId="36" applyFont="1" applyBorder="1" applyAlignment="1">
      <alignment horizontal="right" vertical="center"/>
    </xf>
    <xf numFmtId="192" fontId="3" fillId="0" borderId="31" xfId="0" applyNumberFormat="1" applyFont="1" applyBorder="1" applyAlignment="1" quotePrefix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36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43" fontId="4" fillId="0" borderId="31" xfId="36" applyFont="1" applyBorder="1" applyAlignment="1">
      <alignment vertical="center"/>
    </xf>
    <xf numFmtId="43" fontId="4" fillId="0" borderId="76" xfId="3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33" borderId="0" xfId="36" applyFont="1" applyFill="1" applyBorder="1" applyAlignment="1">
      <alignment vertical="center"/>
    </xf>
    <xf numFmtId="43" fontId="6" fillId="0" borderId="0" xfId="36" applyFont="1" applyBorder="1" applyAlignment="1">
      <alignment vertical="center"/>
    </xf>
    <xf numFmtId="0" fontId="3" fillId="0" borderId="7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80" fillId="0" borderId="31" xfId="0" applyFont="1" applyBorder="1" applyAlignment="1">
      <alignment vertical="center"/>
    </xf>
    <xf numFmtId="43" fontId="80" fillId="0" borderId="0" xfId="36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43" fontId="80" fillId="0" borderId="0" xfId="36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43" fontId="3" fillId="0" borderId="77" xfId="36" applyFont="1" applyBorder="1" applyAlignment="1">
      <alignment vertical="center"/>
    </xf>
    <xf numFmtId="43" fontId="3" fillId="0" borderId="17" xfId="36" applyFont="1" applyBorder="1" applyAlignment="1">
      <alignment vertical="center"/>
    </xf>
    <xf numFmtId="49" fontId="80" fillId="0" borderId="0" xfId="0" applyNumberFormat="1" applyFont="1" applyBorder="1" applyAlignment="1" quotePrefix="1">
      <alignment horizontal="center" vertical="center"/>
    </xf>
    <xf numFmtId="189" fontId="80" fillId="0" borderId="0" xfId="0" applyNumberFormat="1" applyFont="1" applyBorder="1" applyAlignment="1">
      <alignment horizontal="right" vertical="center"/>
    </xf>
    <xf numFmtId="43" fontId="80" fillId="0" borderId="40" xfId="36" applyFont="1" applyBorder="1" applyAlignment="1">
      <alignment vertical="center"/>
    </xf>
    <xf numFmtId="43" fontId="80" fillId="0" borderId="44" xfId="36" applyFont="1" applyBorder="1" applyAlignment="1">
      <alignment vertical="center"/>
    </xf>
    <xf numFmtId="43" fontId="80" fillId="35" borderId="44" xfId="36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4" fillId="0" borderId="51" xfId="0" applyFont="1" applyBorder="1" applyAlignment="1">
      <alignment horizontal="center" vertical="center"/>
    </xf>
    <xf numFmtId="49" fontId="80" fillId="0" borderId="78" xfId="0" applyNumberFormat="1" applyFont="1" applyBorder="1" applyAlignment="1">
      <alignment horizontal="center"/>
    </xf>
    <xf numFmtId="49" fontId="80" fillId="0" borderId="23" xfId="0" applyNumberFormat="1" applyFont="1" applyBorder="1" applyAlignment="1">
      <alignment horizontal="center"/>
    </xf>
    <xf numFmtId="0" fontId="80" fillId="0" borderId="61" xfId="0" applyFont="1" applyBorder="1" applyAlignment="1" quotePrefix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0" fillId="0" borderId="50" xfId="0" applyFont="1" applyBorder="1" applyAlignment="1">
      <alignment horizontal="center" vertical="center"/>
    </xf>
    <xf numFmtId="49" fontId="80" fillId="0" borderId="23" xfId="0" applyNumberFormat="1" applyFont="1" applyBorder="1" applyAlignment="1" quotePrefix="1">
      <alignment horizontal="center"/>
    </xf>
    <xf numFmtId="0" fontId="3" fillId="0" borderId="50" xfId="0" applyFont="1" applyFill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9" fontId="80" fillId="0" borderId="46" xfId="0" applyNumberFormat="1" applyFont="1" applyBorder="1" applyAlignment="1">
      <alignment horizontal="center" vertical="center"/>
    </xf>
    <xf numFmtId="43" fontId="3" fillId="0" borderId="78" xfId="36" applyFont="1" applyFill="1" applyBorder="1" applyAlignment="1">
      <alignment vertical="center"/>
    </xf>
    <xf numFmtId="43" fontId="3" fillId="0" borderId="56" xfId="36" applyFont="1" applyBorder="1" applyAlignment="1">
      <alignment vertical="center"/>
    </xf>
    <xf numFmtId="0" fontId="80" fillId="0" borderId="23" xfId="0" applyFont="1" applyFill="1" applyBorder="1" applyAlignment="1">
      <alignment horizontal="center" shrinkToFit="1"/>
    </xf>
    <xf numFmtId="43" fontId="3" fillId="0" borderId="46" xfId="36" applyFont="1" applyBorder="1" applyAlignment="1">
      <alignment vertical="center"/>
    </xf>
    <xf numFmtId="0" fontId="80" fillId="0" borderId="46" xfId="0" applyFont="1" applyBorder="1" applyAlignment="1" quotePrefix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43" fontId="20" fillId="0" borderId="46" xfId="36" applyFont="1" applyBorder="1" applyAlignment="1">
      <alignment vertical="center"/>
    </xf>
    <xf numFmtId="43" fontId="20" fillId="0" borderId="23" xfId="36" applyFont="1" applyBorder="1" applyAlignment="1">
      <alignment vertical="center"/>
    </xf>
    <xf numFmtId="0" fontId="80" fillId="0" borderId="41" xfId="0" applyFont="1" applyBorder="1" applyAlignment="1">
      <alignment vertical="center"/>
    </xf>
    <xf numFmtId="0" fontId="80" fillId="0" borderId="42" xfId="0" applyFont="1" applyBorder="1" applyAlignment="1">
      <alignment vertical="center"/>
    </xf>
    <xf numFmtId="0" fontId="80" fillId="0" borderId="57" xfId="0" applyFont="1" applyBorder="1" applyAlignment="1">
      <alignment vertical="center"/>
    </xf>
    <xf numFmtId="0" fontId="80" fillId="0" borderId="58" xfId="0" applyFont="1" applyBorder="1" applyAlignment="1">
      <alignment vertical="center"/>
    </xf>
    <xf numFmtId="43" fontId="20" fillId="0" borderId="79" xfId="36" applyFont="1" applyBorder="1" applyAlignment="1">
      <alignment vertical="center"/>
    </xf>
    <xf numFmtId="43" fontId="3" fillId="0" borderId="80" xfId="36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80" fillId="0" borderId="23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36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63" xfId="36" applyFont="1" applyBorder="1" applyAlignment="1">
      <alignment vertical="center"/>
    </xf>
    <xf numFmtId="43" fontId="80" fillId="0" borderId="23" xfId="36" applyFont="1" applyBorder="1" applyAlignment="1">
      <alignment vertical="center"/>
    </xf>
    <xf numFmtId="43" fontId="20" fillId="0" borderId="14" xfId="36" applyFont="1" applyBorder="1" applyAlignment="1">
      <alignment vertical="center"/>
    </xf>
    <xf numFmtId="0" fontId="80" fillId="0" borderId="22" xfId="0" applyFont="1" applyBorder="1" applyAlignment="1">
      <alignment horizontal="center" vertical="center"/>
    </xf>
    <xf numFmtId="43" fontId="80" fillId="0" borderId="22" xfId="36" applyFont="1" applyBorder="1" applyAlignment="1">
      <alignment vertical="center"/>
    </xf>
    <xf numFmtId="43" fontId="3" fillId="0" borderId="81" xfId="36" applyFont="1" applyBorder="1" applyAlignment="1">
      <alignment vertical="center"/>
    </xf>
    <xf numFmtId="0" fontId="85" fillId="0" borderId="57" xfId="0" applyFont="1" applyBorder="1" applyAlignment="1">
      <alignment vertical="center"/>
    </xf>
    <xf numFmtId="43" fontId="80" fillId="0" borderId="11" xfId="36" applyFont="1" applyBorder="1" applyAlignment="1">
      <alignment vertical="center"/>
    </xf>
    <xf numFmtId="0" fontId="20" fillId="0" borderId="82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43" fontId="20" fillId="0" borderId="83" xfId="36" applyFont="1" applyBorder="1" applyAlignment="1">
      <alignment vertical="center"/>
    </xf>
    <xf numFmtId="0" fontId="80" fillId="0" borderId="83" xfId="0" applyFont="1" applyBorder="1" applyAlignment="1" quotePrefix="1">
      <alignment horizontal="center" vertical="center"/>
    </xf>
    <xf numFmtId="43" fontId="4" fillId="0" borderId="10" xfId="36" applyFont="1" applyBorder="1" applyAlignment="1">
      <alignment vertical="center"/>
    </xf>
    <xf numFmtId="0" fontId="3" fillId="0" borderId="12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84" fillId="0" borderId="0" xfId="36" applyFont="1" applyFill="1" applyBorder="1" applyAlignment="1">
      <alignment vertical="center"/>
    </xf>
    <xf numFmtId="0" fontId="80" fillId="0" borderId="14" xfId="0" applyFont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3" fillId="0" borderId="14" xfId="36" applyFont="1" applyBorder="1" applyAlignment="1">
      <alignment vertical="center"/>
    </xf>
    <xf numFmtId="43" fontId="3" fillId="0" borderId="83" xfId="36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3" fontId="3" fillId="0" borderId="84" xfId="36" applyFont="1" applyBorder="1" applyAlignment="1">
      <alignment vertical="center"/>
    </xf>
    <xf numFmtId="49" fontId="80" fillId="0" borderId="31" xfId="0" applyNumberFormat="1" applyFont="1" applyBorder="1" applyAlignment="1">
      <alignment horizontal="center" vertical="center"/>
    </xf>
    <xf numFmtId="49" fontId="80" fillId="0" borderId="0" xfId="0" applyNumberFormat="1" applyFont="1" applyBorder="1" applyAlignment="1">
      <alignment horizontal="center" vertical="center"/>
    </xf>
    <xf numFmtId="43" fontId="4" fillId="0" borderId="85" xfId="36" applyFont="1" applyBorder="1" applyAlignment="1">
      <alignment vertical="center"/>
    </xf>
    <xf numFmtId="0" fontId="7" fillId="33" borderId="86" xfId="0" applyFont="1" applyFill="1" applyBorder="1" applyAlignment="1">
      <alignment/>
    </xf>
    <xf numFmtId="43" fontId="7" fillId="33" borderId="14" xfId="36" applyFont="1" applyFill="1" applyBorder="1" applyAlignment="1">
      <alignment/>
    </xf>
    <xf numFmtId="43" fontId="7" fillId="33" borderId="87" xfId="36" applyFont="1" applyFill="1" applyBorder="1" applyAlignment="1">
      <alignment/>
    </xf>
    <xf numFmtId="0" fontId="3" fillId="0" borderId="88" xfId="0" applyFont="1" applyBorder="1" applyAlignment="1">
      <alignment vertical="center"/>
    </xf>
    <xf numFmtId="43" fontId="7" fillId="0" borderId="80" xfId="0" applyNumberFormat="1" applyFont="1" applyBorder="1" applyAlignment="1">
      <alignment/>
    </xf>
    <xf numFmtId="43" fontId="4" fillId="0" borderId="89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43" fontId="3" fillId="0" borderId="30" xfId="36" applyFont="1" applyBorder="1" applyAlignment="1">
      <alignment vertical="center"/>
    </xf>
    <xf numFmtId="4" fontId="3" fillId="0" borderId="30" xfId="0" applyNumberFormat="1" applyFont="1" applyBorder="1" applyAlignment="1">
      <alignment/>
    </xf>
    <xf numFmtId="43" fontId="80" fillId="0" borderId="30" xfId="36" applyFont="1" applyBorder="1" applyAlignment="1">
      <alignment vertical="center"/>
    </xf>
    <xf numFmtId="43" fontId="4" fillId="35" borderId="35" xfId="36" applyFont="1" applyFill="1" applyBorder="1" applyAlignment="1">
      <alignment vertical="center"/>
    </xf>
    <xf numFmtId="43" fontId="80" fillId="0" borderId="35" xfId="36" applyFont="1" applyBorder="1" applyAlignment="1">
      <alignment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40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/>
    </xf>
    <xf numFmtId="43" fontId="3" fillId="0" borderId="35" xfId="36" applyFont="1" applyBorder="1" applyAlignment="1">
      <alignment/>
    </xf>
    <xf numFmtId="49" fontId="80" fillId="0" borderId="91" xfId="0" applyNumberFormat="1" applyFont="1" applyBorder="1" applyAlignment="1">
      <alignment horizontal="center"/>
    </xf>
    <xf numFmtId="43" fontId="3" fillId="0" borderId="92" xfId="36" applyFont="1" applyFill="1" applyBorder="1" applyAlignment="1">
      <alignment vertical="center"/>
    </xf>
    <xf numFmtId="43" fontId="3" fillId="0" borderId="30" xfId="36" applyFont="1" applyBorder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80" fillId="0" borderId="21" xfId="36" applyFont="1" applyFill="1" applyBorder="1" applyAlignment="1">
      <alignment vertical="center"/>
    </xf>
    <xf numFmtId="43" fontId="3" fillId="0" borderId="21" xfId="36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70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3" fontId="4" fillId="35" borderId="0" xfId="36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4" fillId="35" borderId="90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/>
    </xf>
    <xf numFmtId="43" fontId="4" fillId="35" borderId="28" xfId="36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93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43" fontId="6" fillId="33" borderId="14" xfId="36" applyFont="1" applyFill="1" applyBorder="1" applyAlignment="1">
      <alignment vertical="center"/>
    </xf>
    <xf numFmtId="43" fontId="3" fillId="0" borderId="63" xfId="36" applyFont="1" applyBorder="1" applyAlignment="1">
      <alignment horizontal="center" vertical="center"/>
    </xf>
    <xf numFmtId="43" fontId="28" fillId="0" borderId="63" xfId="36" applyFont="1" applyBorder="1" applyAlignment="1">
      <alignment vertical="center"/>
    </xf>
    <xf numFmtId="0" fontId="0" fillId="0" borderId="15" xfId="0" applyBorder="1" applyAlignment="1">
      <alignment/>
    </xf>
    <xf numFmtId="49" fontId="80" fillId="0" borderId="78" xfId="0" applyNumberFormat="1" applyFont="1" applyBorder="1" applyAlignment="1" quotePrefix="1">
      <alignment horizontal="center"/>
    </xf>
    <xf numFmtId="49" fontId="3" fillId="0" borderId="69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43" fontId="4" fillId="0" borderId="11" xfId="36" applyFont="1" applyBorder="1" applyAlignment="1">
      <alignment horizontal="center" vertical="center"/>
    </xf>
    <xf numFmtId="43" fontId="4" fillId="0" borderId="80" xfId="36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wrapText="1"/>
    </xf>
    <xf numFmtId="43" fontId="27" fillId="0" borderId="15" xfId="36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43" fontId="29" fillId="0" borderId="15" xfId="36" applyFont="1" applyBorder="1" applyAlignment="1">
      <alignment horizontal="center" vertical="center"/>
    </xf>
    <xf numFmtId="43" fontId="27" fillId="0" borderId="15" xfId="0" applyNumberFormat="1" applyFont="1" applyBorder="1" applyAlignment="1">
      <alignment/>
    </xf>
    <xf numFmtId="0" fontId="27" fillId="0" borderId="15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43" fontId="29" fillId="0" borderId="20" xfId="36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9" fillId="0" borderId="94" xfId="0" applyFont="1" applyBorder="1" applyAlignment="1">
      <alignment horizontal="left" vertical="center" wrapText="1"/>
    </xf>
    <xf numFmtId="43" fontId="29" fillId="0" borderId="94" xfId="36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43" fontId="25" fillId="34" borderId="0" xfId="36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shrinkToFit="1"/>
    </xf>
    <xf numFmtId="43" fontId="3" fillId="34" borderId="0" xfId="36" applyFont="1" applyFill="1" applyAlignment="1">
      <alignment shrinkToFit="1"/>
    </xf>
    <xf numFmtId="0" fontId="3" fillId="34" borderId="0" xfId="0" applyFont="1" applyFill="1" applyBorder="1" applyAlignment="1">
      <alignment horizontal="left" shrinkToFit="1"/>
    </xf>
    <xf numFmtId="43" fontId="3" fillId="34" borderId="0" xfId="36" applyFont="1" applyFill="1" applyBorder="1" applyAlignment="1">
      <alignment horizontal="left" shrinkToFit="1"/>
    </xf>
    <xf numFmtId="0" fontId="3" fillId="34" borderId="0" xfId="0" applyFont="1" applyFill="1" applyAlignment="1">
      <alignment shrinkToFit="1"/>
    </xf>
    <xf numFmtId="0" fontId="3" fillId="34" borderId="0" xfId="0" applyFont="1" applyFill="1" applyBorder="1" applyAlignment="1">
      <alignment horizontal="center" shrinkToFit="1"/>
    </xf>
    <xf numFmtId="43" fontId="3" fillId="34" borderId="0" xfId="36" applyFont="1" applyFill="1" applyBorder="1" applyAlignment="1">
      <alignment horizontal="center" shrinkToFit="1"/>
    </xf>
    <xf numFmtId="43" fontId="25" fillId="0" borderId="0" xfId="36" applyFont="1" applyFill="1" applyBorder="1" applyAlignment="1">
      <alignment horizontal="center" shrinkToFit="1"/>
    </xf>
    <xf numFmtId="43" fontId="3" fillId="0" borderId="0" xfId="36" applyFont="1" applyFill="1" applyBorder="1" applyAlignment="1">
      <alignment horizontal="left" shrinkToFit="1"/>
    </xf>
    <xf numFmtId="0" fontId="3" fillId="0" borderId="0" xfId="0" applyFont="1" applyFill="1" applyAlignment="1">
      <alignment horizontal="right" shrinkToFit="1"/>
    </xf>
    <xf numFmtId="0" fontId="3" fillId="0" borderId="0" xfId="0" applyFont="1" applyFill="1" applyAlignment="1">
      <alignment shrinkToFit="1"/>
    </xf>
    <xf numFmtId="43" fontId="4" fillId="0" borderId="30" xfId="36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189" fontId="3" fillId="0" borderId="63" xfId="0" applyNumberFormat="1" applyFont="1" applyBorder="1" applyAlignment="1">
      <alignment horizontal="center" vertical="center"/>
    </xf>
    <xf numFmtId="43" fontId="6" fillId="0" borderId="11" xfId="36" applyFont="1" applyBorder="1" applyAlignment="1">
      <alignment/>
    </xf>
    <xf numFmtId="189" fontId="3" fillId="0" borderId="0" xfId="0" applyNumberFormat="1" applyFont="1" applyBorder="1" applyAlignment="1">
      <alignment horizontal="right" vertical="center"/>
    </xf>
    <xf numFmtId="2" fontId="3" fillId="0" borderId="0" xfId="36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6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4" fillId="0" borderId="9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4" fillId="35" borderId="97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4" fillId="35" borderId="9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9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4" fillId="0" borderId="95" xfId="0" applyFont="1" applyBorder="1" applyAlignment="1">
      <alignment horizontal="center" vertical="center"/>
    </xf>
    <xf numFmtId="0" fontId="84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4" fillId="0" borderId="0" xfId="36" applyFont="1" applyAlignment="1">
      <alignment horizontal="right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/>
    </xf>
    <xf numFmtId="0" fontId="80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0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21" fillId="0" borderId="73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73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 shrinkToFit="1"/>
    </xf>
    <xf numFmtId="0" fontId="28" fillId="0" borderId="0" xfId="0" applyFont="1" applyBorder="1" applyAlignment="1">
      <alignment horizontal="left" vertical="center" wrapText="1" shrinkToFit="1"/>
    </xf>
    <xf numFmtId="0" fontId="28" fillId="0" borderId="14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188" fontId="6" fillId="33" borderId="12" xfId="36" applyNumberFormat="1" applyFont="1" applyFill="1" applyBorder="1" applyAlignment="1">
      <alignment horizontal="center" vertical="center"/>
    </xf>
    <xf numFmtId="188" fontId="6" fillId="33" borderId="101" xfId="36" applyNumberFormat="1" applyFont="1" applyFill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9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189" fontId="16" fillId="0" borderId="12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14" xfId="0" applyNumberFormat="1" applyFont="1" applyBorder="1" applyAlignment="1">
      <alignment horizontal="left" vertical="center" wrapText="1"/>
    </xf>
    <xf numFmtId="43" fontId="5" fillId="0" borderId="0" xfId="36" applyFont="1" applyAlignment="1">
      <alignment horizontal="center" vertical="center"/>
    </xf>
    <xf numFmtId="188" fontId="6" fillId="0" borderId="103" xfId="36" applyNumberFormat="1" applyFont="1" applyBorder="1" applyAlignment="1">
      <alignment horizontal="center" vertical="center"/>
    </xf>
    <xf numFmtId="189" fontId="5" fillId="0" borderId="12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11" xfId="36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8" fontId="6" fillId="0" borderId="104" xfId="36" applyNumberFormat="1" applyFont="1" applyBorder="1" applyAlignment="1">
      <alignment horizontal="center" vertical="center"/>
    </xf>
    <xf numFmtId="188" fontId="6" fillId="0" borderId="105" xfId="36" applyNumberFormat="1" applyFont="1" applyBorder="1" applyAlignment="1">
      <alignment horizontal="center" vertical="center"/>
    </xf>
    <xf numFmtId="188" fontId="6" fillId="0" borderId="106" xfId="36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8" fillId="0" borderId="0" xfId="0" applyFont="1" applyAlignment="1">
      <alignment horizontal="center"/>
    </xf>
    <xf numFmtId="189" fontId="5" fillId="0" borderId="14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63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43" fontId="3" fillId="0" borderId="31" xfId="36" applyFont="1" applyBorder="1" applyAlignment="1">
      <alignment horizontal="left" vertical="center" shrinkToFit="1"/>
    </xf>
    <xf numFmtId="43" fontId="3" fillId="0" borderId="0" xfId="36" applyFont="1" applyBorder="1" applyAlignment="1">
      <alignment horizontal="left" vertical="center" shrinkToFit="1"/>
    </xf>
    <xf numFmtId="43" fontId="3" fillId="0" borderId="63" xfId="36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9525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915275" y="1219200"/>
          <a:ext cx="581025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924800" y="1666875"/>
          <a:ext cx="56197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7915275" y="2409825"/>
          <a:ext cx="571500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342900</xdr:colOff>
      <xdr:row>10</xdr:row>
      <xdr:rowOff>9525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7915275" y="2162175"/>
          <a:ext cx="323850" cy="228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95250</xdr:rowOff>
    </xdr:from>
    <xdr:to>
      <xdr:col>6</xdr:col>
      <xdr:colOff>600075</xdr:colOff>
      <xdr:row>12</xdr:row>
      <xdr:rowOff>0</xdr:rowOff>
    </xdr:to>
    <xdr:sp>
      <xdr:nvSpPr>
        <xdr:cNvPr id="5" name="วงเล็บปีกกาขวา 5"/>
        <xdr:cNvSpPr>
          <a:spLocks/>
        </xdr:cNvSpPr>
      </xdr:nvSpPr>
      <xdr:spPr>
        <a:xfrm>
          <a:off x="7915275" y="2714625"/>
          <a:ext cx="581025" cy="142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171450</xdr:rowOff>
    </xdr:from>
    <xdr:to>
      <xdr:col>6</xdr:col>
      <xdr:colOff>600075</xdr:colOff>
      <xdr:row>14</xdr:row>
      <xdr:rowOff>9525</xdr:rowOff>
    </xdr:to>
    <xdr:sp>
      <xdr:nvSpPr>
        <xdr:cNvPr id="6" name="วงเล็บปีกกาขวา 5"/>
        <xdr:cNvSpPr>
          <a:spLocks/>
        </xdr:cNvSpPr>
      </xdr:nvSpPr>
      <xdr:spPr>
        <a:xfrm>
          <a:off x="7915275" y="3267075"/>
          <a:ext cx="581025" cy="76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>
      <xdr:nvSpPr>
        <xdr:cNvPr id="7" name="วงเล็บปีกกาขวา 5"/>
        <xdr:cNvSpPr>
          <a:spLocks/>
        </xdr:cNvSpPr>
      </xdr:nvSpPr>
      <xdr:spPr>
        <a:xfrm>
          <a:off x="7915275" y="3362325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>
      <xdr:nvSpPr>
        <xdr:cNvPr id="8" name="วงเล็บปีกกาขวา 5"/>
        <xdr:cNvSpPr>
          <a:spLocks/>
        </xdr:cNvSpPr>
      </xdr:nvSpPr>
      <xdr:spPr>
        <a:xfrm>
          <a:off x="7896225" y="4286250"/>
          <a:ext cx="581025" cy="447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686675" y="1219200"/>
          <a:ext cx="1333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228600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715250" y="3257550"/>
          <a:ext cx="171450" cy="22860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10</xdr:row>
      <xdr:rowOff>19050</xdr:rowOff>
    </xdr:from>
    <xdr:to>
      <xdr:col>11</xdr:col>
      <xdr:colOff>95250</xdr:colOff>
      <xdr:row>16</xdr:row>
      <xdr:rowOff>200025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8829675" y="1962150"/>
          <a:ext cx="66675" cy="1438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1152525</xdr:colOff>
      <xdr:row>79</xdr:row>
      <xdr:rowOff>19050</xdr:rowOff>
    </xdr:from>
    <xdr:to>
      <xdr:col>11</xdr:col>
      <xdr:colOff>323850</xdr:colOff>
      <xdr:row>92</xdr:row>
      <xdr:rowOff>19050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8791575" y="13335000"/>
          <a:ext cx="333375" cy="27241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9525</xdr:rowOff>
    </xdr:from>
    <xdr:to>
      <xdr:col>11</xdr:col>
      <xdr:colOff>57150</xdr:colOff>
      <xdr:row>111</xdr:row>
      <xdr:rowOff>200025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8801100" y="18145125"/>
          <a:ext cx="571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1\PU\&#3591;&#3610;&#3611;&#3619;&#3632;&#3617;&#3634;&#3603;%202558\&#3591;&#3610;&#3648;&#3604;&#3639;&#3629;&#3609;\12.&#3585;.&#3618;..57\&#3591;&#3610;&#3648;&#3604;&#3639;&#3629;&#3609;&#3585;.&#3618;.2557(2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43"/>
  <sheetViews>
    <sheetView view="pageBreakPreview" zoomScaleNormal="110" zoomScaleSheetLayoutView="100" zoomScalePageLayoutView="0" workbookViewId="0" topLeftCell="A1">
      <selection activeCell="A38" sqref="A38:B38"/>
    </sheetView>
  </sheetViews>
  <sheetFormatPr defaultColWidth="9.140625" defaultRowHeight="21.75"/>
  <cols>
    <col min="1" max="1" width="8.57421875" style="139" customWidth="1"/>
    <col min="2" max="2" width="24.421875" style="139" customWidth="1"/>
    <col min="3" max="3" width="6.421875" style="139" customWidth="1"/>
    <col min="4" max="4" width="5.28125" style="139" customWidth="1"/>
    <col min="5" max="5" width="15.421875" style="139" customWidth="1"/>
    <col min="6" max="6" width="10.421875" style="139" customWidth="1"/>
    <col min="7" max="7" width="18.57421875" style="139" customWidth="1"/>
    <col min="8" max="8" width="18.57421875" style="146" customWidth="1"/>
    <col min="9" max="9" width="23.8515625" style="139" customWidth="1"/>
    <col min="10" max="10" width="12.7109375" style="139" bestFit="1" customWidth="1"/>
    <col min="11" max="11" width="14.00390625" style="139" bestFit="1" customWidth="1"/>
    <col min="12" max="16384" width="9.140625" style="139" customWidth="1"/>
  </cols>
  <sheetData>
    <row r="1" spans="5:9" ht="19.5" customHeight="1">
      <c r="E1" s="140"/>
      <c r="F1" s="140"/>
      <c r="H1" s="141" t="s">
        <v>682</v>
      </c>
      <c r="I1" s="140"/>
    </row>
    <row r="2" spans="3:9" ht="19.5" customHeight="1">
      <c r="C2" s="142"/>
      <c r="D2" s="142"/>
      <c r="E2" s="142"/>
      <c r="F2" s="704" t="s">
        <v>705</v>
      </c>
      <c r="G2" s="704"/>
      <c r="H2" s="704"/>
      <c r="I2" s="143"/>
    </row>
    <row r="3" spans="1:9" ht="19.5" customHeight="1">
      <c r="A3" s="702" t="s">
        <v>343</v>
      </c>
      <c r="B3" s="703"/>
      <c r="C3" s="703"/>
      <c r="D3" s="703"/>
      <c r="E3" s="703"/>
      <c r="F3" s="703"/>
      <c r="G3" s="703"/>
      <c r="H3" s="703"/>
      <c r="I3" s="144"/>
    </row>
    <row r="4" ht="19.5" customHeight="1" thickBot="1">
      <c r="A4" s="145" t="s">
        <v>363</v>
      </c>
    </row>
    <row r="5" spans="1:8" ht="19.5" customHeight="1" thickBot="1">
      <c r="A5" s="705" t="s">
        <v>52</v>
      </c>
      <c r="B5" s="706"/>
      <c r="C5" s="706"/>
      <c r="D5" s="706"/>
      <c r="E5" s="148"/>
      <c r="F5" s="147" t="s">
        <v>47</v>
      </c>
      <c r="G5" s="149" t="s">
        <v>9</v>
      </c>
      <c r="H5" s="150" t="s">
        <v>10</v>
      </c>
    </row>
    <row r="6" spans="1:9" ht="19.5" customHeight="1">
      <c r="A6" s="151" t="s">
        <v>78</v>
      </c>
      <c r="B6" s="152"/>
      <c r="C6" s="152"/>
      <c r="D6" s="152"/>
      <c r="E6" s="152"/>
      <c r="F6" s="153" t="s">
        <v>234</v>
      </c>
      <c r="G6" s="154">
        <v>13475</v>
      </c>
      <c r="H6" s="154">
        <v>13475</v>
      </c>
      <c r="I6" s="155">
        <f>+G6-H6</f>
        <v>0</v>
      </c>
    </row>
    <row r="7" spans="1:8" ht="19.5" customHeight="1">
      <c r="A7" s="156" t="s">
        <v>128</v>
      </c>
      <c r="B7" s="152"/>
      <c r="C7" s="152"/>
      <c r="D7" s="152"/>
      <c r="E7" s="152"/>
      <c r="F7" s="153" t="s">
        <v>235</v>
      </c>
      <c r="G7" s="154">
        <v>0</v>
      </c>
      <c r="H7" s="154">
        <v>0</v>
      </c>
    </row>
    <row r="8" spans="1:8" ht="19.5" customHeight="1">
      <c r="A8" s="156" t="s">
        <v>100</v>
      </c>
      <c r="B8" s="152"/>
      <c r="C8" s="152"/>
      <c r="D8" s="152"/>
      <c r="E8" s="152"/>
      <c r="F8" s="153" t="s">
        <v>236</v>
      </c>
      <c r="G8" s="154">
        <v>1854630.72</v>
      </c>
      <c r="H8" s="154"/>
    </row>
    <row r="9" spans="1:8" ht="19.5" customHeight="1">
      <c r="A9" s="157" t="s">
        <v>219</v>
      </c>
      <c r="B9" s="152"/>
      <c r="C9" s="152"/>
      <c r="D9" s="152"/>
      <c r="E9" s="152"/>
      <c r="F9" s="153" t="s">
        <v>237</v>
      </c>
      <c r="G9" s="154">
        <v>0</v>
      </c>
      <c r="H9" s="154"/>
    </row>
    <row r="10" spans="1:8" ht="19.5" customHeight="1">
      <c r="A10" s="157" t="s">
        <v>150</v>
      </c>
      <c r="B10" s="152"/>
      <c r="C10" s="152"/>
      <c r="D10" s="152"/>
      <c r="E10" s="152"/>
      <c r="F10" s="153" t="s">
        <v>233</v>
      </c>
      <c r="G10" s="154">
        <v>0</v>
      </c>
      <c r="H10" s="154"/>
    </row>
    <row r="11" spans="1:8" ht="19.5" customHeight="1">
      <c r="A11" s="157" t="s">
        <v>151</v>
      </c>
      <c r="B11" s="152"/>
      <c r="C11" s="152"/>
      <c r="D11" s="152"/>
      <c r="E11" s="152"/>
      <c r="F11" s="153" t="s">
        <v>238</v>
      </c>
      <c r="G11" s="154">
        <v>0</v>
      </c>
      <c r="H11" s="154"/>
    </row>
    <row r="12" spans="1:8" ht="19.5" customHeight="1">
      <c r="A12" s="160" t="s">
        <v>156</v>
      </c>
      <c r="B12" s="152"/>
      <c r="C12" s="152"/>
      <c r="D12" s="152"/>
      <c r="E12" s="152"/>
      <c r="F12" s="153" t="s">
        <v>185</v>
      </c>
      <c r="G12" s="154">
        <v>0</v>
      </c>
      <c r="H12" s="154"/>
    </row>
    <row r="13" spans="1:10" ht="19.5" customHeight="1">
      <c r="A13" s="156"/>
      <c r="B13" s="152" t="s">
        <v>6</v>
      </c>
      <c r="C13" s="152"/>
      <c r="D13" s="152"/>
      <c r="E13" s="152"/>
      <c r="F13" s="153" t="s">
        <v>186</v>
      </c>
      <c r="G13" s="154"/>
      <c r="H13" s="154">
        <v>1849855.72</v>
      </c>
      <c r="J13" s="155"/>
    </row>
    <row r="14" spans="1:10" ht="19.5" customHeight="1">
      <c r="A14" s="156"/>
      <c r="B14" s="152" t="s">
        <v>243</v>
      </c>
      <c r="C14" s="152"/>
      <c r="D14" s="152"/>
      <c r="E14" s="152"/>
      <c r="F14" s="153" t="s">
        <v>244</v>
      </c>
      <c r="G14" s="154"/>
      <c r="H14" s="154">
        <v>0</v>
      </c>
      <c r="J14" s="155"/>
    </row>
    <row r="15" spans="1:10" ht="19.5" customHeight="1">
      <c r="A15" s="156"/>
      <c r="B15" s="152" t="s">
        <v>358</v>
      </c>
      <c r="C15" s="152"/>
      <c r="D15" s="152"/>
      <c r="E15" s="152"/>
      <c r="F15" s="153" t="s">
        <v>359</v>
      </c>
      <c r="G15" s="154"/>
      <c r="H15" s="154">
        <v>0</v>
      </c>
      <c r="J15" s="155"/>
    </row>
    <row r="16" spans="1:8" ht="19.5" customHeight="1">
      <c r="A16" s="156"/>
      <c r="B16" s="152" t="s">
        <v>344</v>
      </c>
      <c r="C16" s="152"/>
      <c r="D16" s="152"/>
      <c r="E16" s="152"/>
      <c r="F16" s="153" t="s">
        <v>231</v>
      </c>
      <c r="G16" s="154">
        <v>0</v>
      </c>
      <c r="H16" s="154">
        <v>3975</v>
      </c>
    </row>
    <row r="17" spans="1:11" ht="19.5" customHeight="1">
      <c r="A17" s="156"/>
      <c r="B17" s="152" t="s">
        <v>346</v>
      </c>
      <c r="C17" s="152"/>
      <c r="D17" s="152"/>
      <c r="E17" s="152"/>
      <c r="F17" s="153" t="s">
        <v>345</v>
      </c>
      <c r="G17" s="154">
        <v>0</v>
      </c>
      <c r="H17" s="154">
        <v>0</v>
      </c>
      <c r="K17" s="155"/>
    </row>
    <row r="18" spans="1:11" ht="19.5" customHeight="1">
      <c r="A18" s="156"/>
      <c r="B18" s="707" t="s">
        <v>149</v>
      </c>
      <c r="C18" s="707"/>
      <c r="D18" s="707"/>
      <c r="E18" s="708"/>
      <c r="F18" s="153" t="s">
        <v>239</v>
      </c>
      <c r="G18" s="154">
        <v>0</v>
      </c>
      <c r="H18" s="154">
        <v>0</v>
      </c>
      <c r="K18" s="155"/>
    </row>
    <row r="19" spans="1:11" ht="19.5" customHeight="1">
      <c r="A19" s="156"/>
      <c r="B19" s="152" t="s">
        <v>148</v>
      </c>
      <c r="C19" s="152"/>
      <c r="D19" s="152"/>
      <c r="E19" s="152"/>
      <c r="F19" s="153" t="s">
        <v>232</v>
      </c>
      <c r="G19" s="154">
        <v>0</v>
      </c>
      <c r="H19" s="154">
        <v>0</v>
      </c>
      <c r="I19" s="139" t="s">
        <v>152</v>
      </c>
      <c r="J19" s="155"/>
      <c r="K19" s="155"/>
    </row>
    <row r="20" spans="1:11" ht="19.5" customHeight="1">
      <c r="A20" s="156"/>
      <c r="B20" s="152" t="s">
        <v>169</v>
      </c>
      <c r="C20" s="152"/>
      <c r="D20" s="152"/>
      <c r="E20" s="152"/>
      <c r="F20" s="153" t="s">
        <v>322</v>
      </c>
      <c r="G20" s="154">
        <v>0</v>
      </c>
      <c r="H20" s="154">
        <v>0</v>
      </c>
      <c r="I20" s="155">
        <f>SUM(H16:H27)</f>
        <v>3975</v>
      </c>
      <c r="K20" s="155"/>
    </row>
    <row r="21" spans="1:11" ht="19.5" customHeight="1">
      <c r="A21" s="156"/>
      <c r="B21" s="152" t="s">
        <v>222</v>
      </c>
      <c r="C21" s="152"/>
      <c r="D21" s="152"/>
      <c r="E21" s="152"/>
      <c r="F21" s="153" t="s">
        <v>240</v>
      </c>
      <c r="G21" s="154">
        <v>0</v>
      </c>
      <c r="H21" s="154">
        <v>0</v>
      </c>
      <c r="I21" s="155"/>
      <c r="K21" s="155"/>
    </row>
    <row r="22" spans="1:11" ht="19.5" customHeight="1">
      <c r="A22" s="156"/>
      <c r="B22" s="152" t="s">
        <v>514</v>
      </c>
      <c r="C22" s="152"/>
      <c r="D22" s="152"/>
      <c r="E22" s="152"/>
      <c r="F22" s="153" t="s">
        <v>513</v>
      </c>
      <c r="G22" s="154">
        <v>0</v>
      </c>
      <c r="H22" s="154">
        <v>0</v>
      </c>
      <c r="I22" s="155"/>
      <c r="K22" s="155"/>
    </row>
    <row r="23" spans="1:11" ht="19.5" customHeight="1" hidden="1">
      <c r="A23" s="156"/>
      <c r="B23" s="152" t="s">
        <v>374</v>
      </c>
      <c r="C23" s="152"/>
      <c r="D23" s="152"/>
      <c r="E23" s="152"/>
      <c r="F23" s="153" t="s">
        <v>240</v>
      </c>
      <c r="G23" s="154">
        <v>0</v>
      </c>
      <c r="H23" s="154">
        <v>0</v>
      </c>
      <c r="I23" s="155"/>
      <c r="K23" s="155"/>
    </row>
    <row r="24" spans="1:11" ht="19.5" customHeight="1" hidden="1">
      <c r="A24" s="156"/>
      <c r="B24" s="152" t="s">
        <v>353</v>
      </c>
      <c r="C24" s="152"/>
      <c r="D24" s="152"/>
      <c r="E24" s="152"/>
      <c r="F24" s="153" t="s">
        <v>352</v>
      </c>
      <c r="G24" s="154">
        <v>0</v>
      </c>
      <c r="H24" s="154">
        <v>0</v>
      </c>
      <c r="I24" s="155"/>
      <c r="K24" s="155"/>
    </row>
    <row r="25" spans="1:11" ht="19.5" customHeight="1">
      <c r="A25" s="156"/>
      <c r="B25" s="152" t="s">
        <v>378</v>
      </c>
      <c r="C25" s="152"/>
      <c r="D25" s="152"/>
      <c r="E25" s="152"/>
      <c r="F25" s="153" t="s">
        <v>322</v>
      </c>
      <c r="G25" s="154">
        <v>0</v>
      </c>
      <c r="H25" s="154">
        <v>0</v>
      </c>
      <c r="I25" s="155"/>
      <c r="K25" s="155"/>
    </row>
    <row r="26" spans="1:11" ht="19.5" customHeight="1">
      <c r="A26" s="156"/>
      <c r="B26" s="152" t="s">
        <v>201</v>
      </c>
      <c r="C26" s="152"/>
      <c r="D26" s="152"/>
      <c r="E26" s="152"/>
      <c r="F26" s="153" t="s">
        <v>240</v>
      </c>
      <c r="G26" s="154"/>
      <c r="H26" s="154">
        <v>0</v>
      </c>
      <c r="I26" s="155"/>
      <c r="K26" s="155"/>
    </row>
    <row r="27" spans="1:11" ht="19.5" customHeight="1">
      <c r="A27" s="156"/>
      <c r="B27" s="649" t="s">
        <v>551</v>
      </c>
      <c r="C27" s="152"/>
      <c r="D27" s="152"/>
      <c r="E27" s="152"/>
      <c r="F27" s="153" t="s">
        <v>240</v>
      </c>
      <c r="G27" s="154"/>
      <c r="H27" s="154">
        <v>0</v>
      </c>
      <c r="K27" s="155"/>
    </row>
    <row r="28" spans="1:11" ht="19.5" customHeight="1">
      <c r="A28" s="156"/>
      <c r="B28" s="152" t="s">
        <v>351</v>
      </c>
      <c r="C28" s="152"/>
      <c r="D28" s="152"/>
      <c r="E28" s="152"/>
      <c r="F28" s="161">
        <v>220100</v>
      </c>
      <c r="G28" s="154">
        <v>0</v>
      </c>
      <c r="H28" s="154">
        <v>0</v>
      </c>
      <c r="K28" s="155"/>
    </row>
    <row r="29" spans="1:11" ht="19.5" customHeight="1">
      <c r="A29" s="156"/>
      <c r="B29" s="152" t="s">
        <v>224</v>
      </c>
      <c r="C29" s="152"/>
      <c r="D29" s="152"/>
      <c r="E29" s="152"/>
      <c r="F29" s="161">
        <v>220500</v>
      </c>
      <c r="G29" s="154">
        <v>0</v>
      </c>
      <c r="H29" s="154">
        <v>0</v>
      </c>
      <c r="K29" s="155"/>
    </row>
    <row r="30" spans="1:11" ht="19.5" customHeight="1">
      <c r="A30" s="156"/>
      <c r="B30" s="152" t="s">
        <v>547</v>
      </c>
      <c r="C30" s="152"/>
      <c r="D30" s="152"/>
      <c r="E30" s="152"/>
      <c r="F30" s="161">
        <v>522000</v>
      </c>
      <c r="G30" s="154"/>
      <c r="H30" s="154">
        <v>0</v>
      </c>
      <c r="K30" s="155"/>
    </row>
    <row r="31" spans="1:11" ht="19.5" customHeight="1">
      <c r="A31" s="156"/>
      <c r="B31" s="152" t="s">
        <v>635</v>
      </c>
      <c r="C31" s="152"/>
      <c r="D31" s="152"/>
      <c r="E31" s="152"/>
      <c r="F31" s="161">
        <v>113100</v>
      </c>
      <c r="G31" s="154"/>
      <c r="H31" s="154">
        <v>0</v>
      </c>
      <c r="K31" s="155"/>
    </row>
    <row r="32" spans="1:9" ht="19.5" customHeight="1">
      <c r="A32" s="156"/>
      <c r="B32" s="709" t="s">
        <v>515</v>
      </c>
      <c r="C32" s="709"/>
      <c r="D32" s="709"/>
      <c r="E32" s="710"/>
      <c r="F32" s="153" t="s">
        <v>247</v>
      </c>
      <c r="G32" s="154"/>
      <c r="H32" s="154">
        <v>800</v>
      </c>
      <c r="I32" s="155"/>
    </row>
    <row r="33" spans="1:8" ht="19.5" customHeight="1">
      <c r="A33" s="156"/>
      <c r="B33" s="162" t="s">
        <v>574</v>
      </c>
      <c r="C33" s="162"/>
      <c r="D33" s="162"/>
      <c r="E33" s="162"/>
      <c r="F33" s="153" t="s">
        <v>187</v>
      </c>
      <c r="G33" s="154"/>
      <c r="H33" s="154">
        <v>0</v>
      </c>
    </row>
    <row r="34" spans="1:8" ht="19.5" customHeight="1">
      <c r="A34" s="156"/>
      <c r="B34" s="162" t="s">
        <v>568</v>
      </c>
      <c r="C34" s="162"/>
      <c r="D34" s="162"/>
      <c r="E34" s="162"/>
      <c r="F34" s="153"/>
      <c r="G34" s="154"/>
      <c r="H34" s="154">
        <v>0</v>
      </c>
    </row>
    <row r="35" spans="1:8" ht="19.5" customHeight="1" thickBot="1">
      <c r="A35" s="156"/>
      <c r="B35" s="162" t="s">
        <v>347</v>
      </c>
      <c r="C35" s="162"/>
      <c r="D35" s="162"/>
      <c r="E35" s="162"/>
      <c r="F35" s="153" t="s">
        <v>188</v>
      </c>
      <c r="G35" s="154"/>
      <c r="H35" s="154">
        <v>0</v>
      </c>
    </row>
    <row r="36" spans="1:10" ht="19.5" customHeight="1" thickBot="1">
      <c r="A36" s="163"/>
      <c r="B36" s="164"/>
      <c r="C36" s="165" t="s">
        <v>73</v>
      </c>
      <c r="D36" s="164"/>
      <c r="E36" s="164"/>
      <c r="F36" s="166"/>
      <c r="G36" s="167">
        <f>SUM(G6:G35)</f>
        <v>1868105.72</v>
      </c>
      <c r="H36" s="167">
        <f>SUM(H6:H35)</f>
        <v>1868105.72</v>
      </c>
      <c r="I36" s="155">
        <f>G36-H36</f>
        <v>0</v>
      </c>
      <c r="J36" s="168"/>
    </row>
    <row r="37" ht="19.5" customHeight="1">
      <c r="A37" s="139" t="s">
        <v>706</v>
      </c>
    </row>
    <row r="38" spans="1:8" ht="19.5" customHeight="1">
      <c r="A38" s="711" t="s">
        <v>34</v>
      </c>
      <c r="B38" s="712"/>
      <c r="C38" s="711" t="s">
        <v>439</v>
      </c>
      <c r="D38" s="713"/>
      <c r="E38" s="713"/>
      <c r="F38" s="712"/>
      <c r="G38" s="711" t="s">
        <v>440</v>
      </c>
      <c r="H38" s="712"/>
    </row>
    <row r="39" spans="1:8" ht="19.5" customHeight="1">
      <c r="A39" s="586"/>
      <c r="B39" s="588"/>
      <c r="C39" s="586"/>
      <c r="D39" s="152"/>
      <c r="E39" s="152"/>
      <c r="F39" s="588"/>
      <c r="G39" s="586"/>
      <c r="H39" s="587"/>
    </row>
    <row r="40" spans="1:8" ht="19.5" customHeight="1">
      <c r="A40" s="586"/>
      <c r="B40" s="588"/>
      <c r="C40" s="586"/>
      <c r="D40" s="152"/>
      <c r="E40" s="152"/>
      <c r="F40" s="588"/>
      <c r="G40" s="586"/>
      <c r="H40" s="587"/>
    </row>
    <row r="41" spans="1:8" ht="19.5" customHeight="1">
      <c r="A41" s="714" t="s">
        <v>441</v>
      </c>
      <c r="B41" s="715"/>
      <c r="C41" s="714" t="s">
        <v>562</v>
      </c>
      <c r="D41" s="718"/>
      <c r="E41" s="718"/>
      <c r="F41" s="715"/>
      <c r="G41" s="714" t="s">
        <v>441</v>
      </c>
      <c r="H41" s="715"/>
    </row>
    <row r="42" spans="1:8" ht="19.5" customHeight="1">
      <c r="A42" s="716" t="s">
        <v>442</v>
      </c>
      <c r="B42" s="717"/>
      <c r="C42" s="716" t="s">
        <v>563</v>
      </c>
      <c r="D42" s="719"/>
      <c r="E42" s="719"/>
      <c r="F42" s="717"/>
      <c r="G42" s="716" t="s">
        <v>442</v>
      </c>
      <c r="H42" s="717"/>
    </row>
    <row r="43" ht="19.5" customHeight="1">
      <c r="C43" s="139" t="s">
        <v>53</v>
      </c>
    </row>
  </sheetData>
  <sheetProtection/>
  <mergeCells count="14">
    <mergeCell ref="A41:B41"/>
    <mergeCell ref="A42:B42"/>
    <mergeCell ref="C41:F41"/>
    <mergeCell ref="C42:F42"/>
    <mergeCell ref="G41:H41"/>
    <mergeCell ref="G42:H42"/>
    <mergeCell ref="A3:H3"/>
    <mergeCell ref="F2:H2"/>
    <mergeCell ref="A5:D5"/>
    <mergeCell ref="B18:E18"/>
    <mergeCell ref="B32:E32"/>
    <mergeCell ref="A38:B38"/>
    <mergeCell ref="C38:F38"/>
    <mergeCell ref="G38:H38"/>
  </mergeCells>
  <printOptions horizontalCentered="1"/>
  <pageMargins left="0.1968503937007874" right="0.1968503937007874" top="0.39" bottom="0.3937007874015748" header="0.35433070866141736" footer="0.16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workbookViewId="0" topLeftCell="A19">
      <selection activeCell="D8" sqref="D8"/>
    </sheetView>
  </sheetViews>
  <sheetFormatPr defaultColWidth="9.140625" defaultRowHeight="21.75"/>
  <cols>
    <col min="1" max="1" width="5.00390625" style="665" customWidth="1"/>
    <col min="2" max="2" width="30.421875" style="665" customWidth="1"/>
    <col min="3" max="3" width="15.421875" style="665" customWidth="1"/>
    <col min="4" max="4" width="15.8515625" style="665" customWidth="1"/>
    <col min="5" max="5" width="18.00390625" style="665" customWidth="1"/>
    <col min="6" max="6" width="28.7109375" style="665" customWidth="1"/>
    <col min="7" max="7" width="18.7109375" style="665" customWidth="1"/>
    <col min="8" max="8" width="16.8515625" style="664" customWidth="1"/>
    <col min="9" max="16384" width="9.140625" style="664" customWidth="1"/>
  </cols>
  <sheetData>
    <row r="1" spans="1:6" ht="23.25">
      <c r="A1" s="812" t="s">
        <v>618</v>
      </c>
      <c r="B1" s="812"/>
      <c r="C1" s="812"/>
      <c r="D1" s="812"/>
      <c r="E1" s="812"/>
      <c r="F1" s="812"/>
    </row>
    <row r="2" spans="1:6" ht="23.25">
      <c r="A2" s="813" t="s">
        <v>76</v>
      </c>
      <c r="B2" s="813"/>
      <c r="C2" s="813"/>
      <c r="D2" s="813"/>
      <c r="E2" s="813"/>
      <c r="F2" s="813"/>
    </row>
    <row r="3" spans="1:6" ht="23.25">
      <c r="A3" s="813" t="s">
        <v>619</v>
      </c>
      <c r="B3" s="813"/>
      <c r="C3" s="813"/>
      <c r="D3" s="813"/>
      <c r="E3" s="813"/>
      <c r="F3" s="813"/>
    </row>
    <row r="4" spans="1:6" ht="23.25">
      <c r="A4" s="813" t="s">
        <v>664</v>
      </c>
      <c r="B4" s="813"/>
      <c r="C4" s="813"/>
      <c r="D4" s="813"/>
      <c r="E4" s="813"/>
      <c r="F4" s="813"/>
    </row>
    <row r="5" spans="1:6" ht="23.25">
      <c r="A5" s="814" t="s">
        <v>140</v>
      </c>
      <c r="B5" s="814"/>
      <c r="C5" s="667" t="s">
        <v>46</v>
      </c>
      <c r="D5" s="667" t="s">
        <v>64</v>
      </c>
      <c r="E5" s="667" t="s">
        <v>65</v>
      </c>
      <c r="F5" s="667" t="s">
        <v>113</v>
      </c>
    </row>
    <row r="6" spans="1:6" ht="75" customHeight="1">
      <c r="A6" s="668">
        <v>1</v>
      </c>
      <c r="B6" s="669" t="s">
        <v>606</v>
      </c>
      <c r="C6" s="670">
        <v>499000</v>
      </c>
      <c r="D6" s="670">
        <v>499000</v>
      </c>
      <c r="E6" s="670">
        <f>C6-D6</f>
        <v>0</v>
      </c>
      <c r="F6" s="668" t="s">
        <v>631</v>
      </c>
    </row>
    <row r="7" spans="1:6" ht="81" customHeight="1">
      <c r="A7" s="668">
        <v>2</v>
      </c>
      <c r="B7" s="671" t="s">
        <v>607</v>
      </c>
      <c r="C7" s="670">
        <v>350000</v>
      </c>
      <c r="D7" s="670">
        <v>0</v>
      </c>
      <c r="E7" s="670">
        <f aca="true" t="shared" si="0" ref="E7:E19">C7-D7</f>
        <v>350000</v>
      </c>
      <c r="F7" s="668"/>
    </row>
    <row r="8" spans="1:6" ht="46.5">
      <c r="A8" s="668">
        <v>3</v>
      </c>
      <c r="B8" s="671" t="s">
        <v>608</v>
      </c>
      <c r="C8" s="670">
        <v>300</v>
      </c>
      <c r="D8" s="670">
        <v>300</v>
      </c>
      <c r="E8" s="670">
        <f t="shared" si="0"/>
        <v>0</v>
      </c>
      <c r="F8" s="668" t="s">
        <v>629</v>
      </c>
    </row>
    <row r="9" spans="1:6" ht="23.25">
      <c r="A9" s="675">
        <v>4</v>
      </c>
      <c r="B9" s="676" t="s">
        <v>609</v>
      </c>
      <c r="C9" s="677">
        <v>507406.4</v>
      </c>
      <c r="D9" s="672">
        <v>205032.8</v>
      </c>
      <c r="E9" s="670">
        <v>0</v>
      </c>
      <c r="F9" s="668" t="s">
        <v>627</v>
      </c>
    </row>
    <row r="10" spans="1:6" ht="23.25">
      <c r="A10" s="678"/>
      <c r="B10" s="679"/>
      <c r="C10" s="680"/>
      <c r="D10" s="672">
        <v>302373.6</v>
      </c>
      <c r="E10" s="670">
        <v>0</v>
      </c>
      <c r="F10" s="681" t="s">
        <v>634</v>
      </c>
    </row>
    <row r="11" spans="1:6" ht="23.25">
      <c r="A11" s="668">
        <v>5</v>
      </c>
      <c r="B11" s="671" t="s">
        <v>620</v>
      </c>
      <c r="C11" s="670">
        <v>8217.3</v>
      </c>
      <c r="D11" s="670">
        <v>8217.3</v>
      </c>
      <c r="E11" s="670">
        <f t="shared" si="0"/>
        <v>0</v>
      </c>
      <c r="F11" s="668" t="s">
        <v>624</v>
      </c>
    </row>
    <row r="12" spans="1:6" ht="46.5">
      <c r="A12" s="668">
        <v>6</v>
      </c>
      <c r="B12" s="671" t="s">
        <v>610</v>
      </c>
      <c r="C12" s="670">
        <v>15000</v>
      </c>
      <c r="D12" s="670">
        <v>15000</v>
      </c>
      <c r="E12" s="670">
        <f t="shared" si="0"/>
        <v>0</v>
      </c>
      <c r="F12" s="668" t="s">
        <v>626</v>
      </c>
    </row>
    <row r="13" spans="1:6" ht="46.5">
      <c r="A13" s="668">
        <v>7</v>
      </c>
      <c r="B13" s="671" t="s">
        <v>611</v>
      </c>
      <c r="C13" s="670">
        <v>15000</v>
      </c>
      <c r="D13" s="670">
        <v>15000</v>
      </c>
      <c r="E13" s="670">
        <f t="shared" si="0"/>
        <v>0</v>
      </c>
      <c r="F13" s="668" t="s">
        <v>625</v>
      </c>
    </row>
    <row r="14" spans="1:6" ht="23.25">
      <c r="A14" s="668">
        <v>8</v>
      </c>
      <c r="B14" s="671" t="s">
        <v>612</v>
      </c>
      <c r="C14" s="670">
        <v>200000</v>
      </c>
      <c r="D14" s="670">
        <v>0</v>
      </c>
      <c r="E14" s="670">
        <f t="shared" si="0"/>
        <v>200000</v>
      </c>
      <c r="F14" s="668"/>
    </row>
    <row r="15" spans="1:6" ht="23.25">
      <c r="A15" s="668">
        <v>9</v>
      </c>
      <c r="B15" s="671" t="s">
        <v>613</v>
      </c>
      <c r="C15" s="670">
        <v>12000</v>
      </c>
      <c r="D15" s="670">
        <v>12000</v>
      </c>
      <c r="E15" s="670">
        <f t="shared" si="0"/>
        <v>0</v>
      </c>
      <c r="F15" s="668" t="s">
        <v>628</v>
      </c>
    </row>
    <row r="16" spans="1:6" ht="46.5">
      <c r="A16" s="668">
        <v>10</v>
      </c>
      <c r="B16" s="671" t="s">
        <v>614</v>
      </c>
      <c r="C16" s="670">
        <v>9000</v>
      </c>
      <c r="D16" s="670">
        <v>9000</v>
      </c>
      <c r="E16" s="670">
        <f t="shared" si="0"/>
        <v>0</v>
      </c>
      <c r="F16" s="668" t="s">
        <v>621</v>
      </c>
    </row>
    <row r="17" spans="1:6" ht="23.25">
      <c r="A17" s="668">
        <v>11</v>
      </c>
      <c r="B17" s="671" t="s">
        <v>615</v>
      </c>
      <c r="C17" s="670">
        <v>9000</v>
      </c>
      <c r="D17" s="670">
        <v>9000</v>
      </c>
      <c r="E17" s="670">
        <f t="shared" si="0"/>
        <v>0</v>
      </c>
      <c r="F17" s="668" t="s">
        <v>622</v>
      </c>
    </row>
    <row r="18" spans="1:6" ht="46.5">
      <c r="A18" s="668">
        <v>12</v>
      </c>
      <c r="B18" s="671" t="s">
        <v>616</v>
      </c>
      <c r="C18" s="670">
        <v>500000</v>
      </c>
      <c r="D18" s="670">
        <v>0</v>
      </c>
      <c r="E18" s="670">
        <f t="shared" si="0"/>
        <v>500000</v>
      </c>
      <c r="F18" s="668"/>
    </row>
    <row r="19" spans="1:6" ht="23.25">
      <c r="A19" s="668">
        <v>13</v>
      </c>
      <c r="B19" s="671" t="s">
        <v>617</v>
      </c>
      <c r="C19" s="670">
        <v>27000</v>
      </c>
      <c r="D19" s="670">
        <v>27000</v>
      </c>
      <c r="E19" s="670">
        <f t="shared" si="0"/>
        <v>0</v>
      </c>
      <c r="F19" s="674" t="s">
        <v>623</v>
      </c>
    </row>
    <row r="20" spans="1:6" ht="23.25">
      <c r="A20" s="668"/>
      <c r="B20" s="667" t="s">
        <v>70</v>
      </c>
      <c r="C20" s="673">
        <f>SUM(C6:C19)</f>
        <v>2151923.7</v>
      </c>
      <c r="D20" s="673">
        <f>SUM(D6:D19)</f>
        <v>1101923.7000000002</v>
      </c>
      <c r="E20" s="673">
        <f>SUM(E6:E19)</f>
        <v>1050000</v>
      </c>
      <c r="F20" s="668"/>
    </row>
    <row r="21" ht="23.25">
      <c r="A21" s="666"/>
    </row>
    <row r="22" ht="23.25">
      <c r="A22" s="666"/>
    </row>
  </sheetData>
  <sheetProtection/>
  <mergeCells count="5">
    <mergeCell ref="A1:F1"/>
    <mergeCell ref="A2:F2"/>
    <mergeCell ref="A3:F3"/>
    <mergeCell ref="A4:F4"/>
    <mergeCell ref="A5:B5"/>
  </mergeCells>
  <printOptions/>
  <pageMargins left="0.2755905511811024" right="0.11811023622047245" top="0.2755905511811024" bottom="0.15748031496062992" header="0.2362204724409449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view="pageBreakPreview" zoomScale="57" zoomScaleSheetLayoutView="57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G10" sqref="G10"/>
    </sheetView>
  </sheetViews>
  <sheetFormatPr defaultColWidth="9.140625" defaultRowHeight="21.75"/>
  <cols>
    <col min="1" max="1" width="4.57421875" style="121" customWidth="1"/>
    <col min="2" max="2" width="44.140625" style="122" bestFit="1" customWidth="1"/>
    <col min="3" max="4" width="14.57421875" style="122" bestFit="1" customWidth="1"/>
    <col min="5" max="5" width="5.7109375" style="122" bestFit="1" customWidth="1"/>
    <col min="6" max="6" width="14.57421875" style="123" bestFit="1" customWidth="1"/>
    <col min="7" max="7" width="12.7109375" style="123" bestFit="1" customWidth="1"/>
    <col min="8" max="8" width="8.7109375" style="123" bestFit="1" customWidth="1"/>
    <col min="9" max="9" width="12.7109375" style="123" bestFit="1" customWidth="1"/>
    <col min="10" max="10" width="11.57421875" style="123" bestFit="1" customWidth="1"/>
    <col min="11" max="11" width="12.7109375" style="123" bestFit="1" customWidth="1"/>
    <col min="12" max="12" width="10.421875" style="123" bestFit="1" customWidth="1"/>
    <col min="13" max="13" width="14.57421875" style="123" bestFit="1" customWidth="1"/>
    <col min="14" max="15" width="12.7109375" style="123" bestFit="1" customWidth="1"/>
    <col min="16" max="16" width="10.421875" style="123" bestFit="1" customWidth="1"/>
    <col min="17" max="17" width="14.57421875" style="123" bestFit="1" customWidth="1"/>
    <col min="18" max="18" width="5.7109375" style="123" bestFit="1" customWidth="1"/>
    <col min="19" max="19" width="14.57421875" style="123" bestFit="1" customWidth="1"/>
    <col min="20" max="20" width="5.7109375" style="123" bestFit="1" customWidth="1"/>
    <col min="21" max="21" width="14.57421875" style="123" bestFit="1" customWidth="1"/>
    <col min="22" max="22" width="5.7109375" style="123" bestFit="1" customWidth="1"/>
    <col min="23" max="23" width="15.7109375" style="123" customWidth="1"/>
    <col min="24" max="25" width="12.57421875" style="123" customWidth="1"/>
    <col min="26" max="30" width="12.57421875" style="124" customWidth="1"/>
    <col min="31" max="34" width="12.57421875" style="86" customWidth="1"/>
    <col min="35" max="35" width="14.00390625" style="86" customWidth="1"/>
    <col min="36" max="36" width="12.57421875" style="125" customWidth="1"/>
    <col min="37" max="16384" width="9.140625" style="89" customWidth="1"/>
  </cols>
  <sheetData>
    <row r="1" spans="1:36" ht="2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I1" s="87"/>
      <c r="AJ1" s="88" t="s">
        <v>274</v>
      </c>
    </row>
    <row r="2" spans="1:36" ht="21">
      <c r="A2" s="815" t="s">
        <v>76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</row>
    <row r="3" spans="1:43" ht="21">
      <c r="A3" s="816" t="s">
        <v>275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  <c r="AG3" s="816"/>
      <c r="AH3" s="816"/>
      <c r="AI3" s="816"/>
      <c r="AJ3" s="816"/>
      <c r="AK3" s="90"/>
      <c r="AL3" s="90"/>
      <c r="AM3" s="90"/>
      <c r="AN3" s="90"/>
      <c r="AO3" s="90"/>
      <c r="AP3" s="90"/>
      <c r="AQ3" s="90"/>
    </row>
    <row r="4" spans="1:43" ht="21">
      <c r="A4" s="817" t="s">
        <v>307</v>
      </c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9"/>
      <c r="AK4" s="90"/>
      <c r="AL4" s="90"/>
      <c r="AM4" s="90"/>
      <c r="AN4" s="90"/>
      <c r="AO4" s="90"/>
      <c r="AP4" s="90"/>
      <c r="AQ4" s="90"/>
    </row>
    <row r="5" spans="1:36" ht="21">
      <c r="A5" s="91" t="s">
        <v>172</v>
      </c>
      <c r="B5" s="91" t="s">
        <v>52</v>
      </c>
      <c r="C5" s="91" t="s">
        <v>308</v>
      </c>
      <c r="D5" s="91" t="s">
        <v>309</v>
      </c>
      <c r="E5" s="91" t="s">
        <v>295</v>
      </c>
      <c r="F5" s="91" t="s">
        <v>310</v>
      </c>
      <c r="G5" s="91" t="s">
        <v>311</v>
      </c>
      <c r="H5" s="91" t="s">
        <v>295</v>
      </c>
      <c r="I5" s="91" t="s">
        <v>312</v>
      </c>
      <c r="J5" s="91" t="s">
        <v>326</v>
      </c>
      <c r="K5" s="91" t="s">
        <v>327</v>
      </c>
      <c r="L5" s="91" t="s">
        <v>295</v>
      </c>
      <c r="M5" s="91" t="s">
        <v>328</v>
      </c>
      <c r="N5" s="91" t="s">
        <v>329</v>
      </c>
      <c r="O5" s="91" t="s">
        <v>330</v>
      </c>
      <c r="P5" s="91" t="s">
        <v>295</v>
      </c>
      <c r="Q5" s="91" t="s">
        <v>331</v>
      </c>
      <c r="R5" s="91" t="s">
        <v>295</v>
      </c>
      <c r="S5" s="91" t="s">
        <v>332</v>
      </c>
      <c r="T5" s="91" t="s">
        <v>295</v>
      </c>
      <c r="U5" s="91" t="s">
        <v>333</v>
      </c>
      <c r="V5" s="91" t="s">
        <v>295</v>
      </c>
      <c r="W5" s="91" t="s">
        <v>276</v>
      </c>
      <c r="X5" s="92" t="s">
        <v>277</v>
      </c>
      <c r="Y5" s="92" t="s">
        <v>278</v>
      </c>
      <c r="Z5" s="92" t="s">
        <v>334</v>
      </c>
      <c r="AA5" s="92" t="s">
        <v>335</v>
      </c>
      <c r="AB5" s="92" t="s">
        <v>336</v>
      </c>
      <c r="AC5" s="92" t="s">
        <v>337</v>
      </c>
      <c r="AD5" s="92" t="s">
        <v>338</v>
      </c>
      <c r="AE5" s="92" t="s">
        <v>339</v>
      </c>
      <c r="AF5" s="92" t="s">
        <v>340</v>
      </c>
      <c r="AG5" s="92" t="s">
        <v>341</v>
      </c>
      <c r="AH5" s="92" t="s">
        <v>342</v>
      </c>
      <c r="AI5" s="92" t="s">
        <v>279</v>
      </c>
      <c r="AJ5" s="93" t="s">
        <v>65</v>
      </c>
    </row>
    <row r="6" spans="1:36" ht="21">
      <c r="A6" s="94">
        <v>1</v>
      </c>
      <c r="B6" s="94" t="s">
        <v>280</v>
      </c>
      <c r="C6" s="95">
        <v>360024.13</v>
      </c>
      <c r="D6" s="95">
        <v>0</v>
      </c>
      <c r="E6" s="95"/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7"/>
      <c r="W6" s="98">
        <f>SUM(D6:U6)</f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9">
        <f>SUM(X6:AH6)</f>
        <v>0</v>
      </c>
      <c r="AJ6" s="97">
        <f>W6-AI6</f>
        <v>0</v>
      </c>
    </row>
    <row r="7" spans="1:36" ht="26.25">
      <c r="A7" s="100">
        <v>2</v>
      </c>
      <c r="B7" s="101" t="s">
        <v>281</v>
      </c>
      <c r="C7" s="102"/>
      <c r="D7" s="102"/>
      <c r="E7" s="102"/>
      <c r="F7" s="103">
        <v>37500</v>
      </c>
      <c r="G7" s="103"/>
      <c r="H7" s="103"/>
      <c r="I7" s="103">
        <v>37500</v>
      </c>
      <c r="J7" s="103"/>
      <c r="K7" s="103"/>
      <c r="L7" s="103"/>
      <c r="M7" s="103">
        <v>73500</v>
      </c>
      <c r="N7" s="103"/>
      <c r="O7" s="103"/>
      <c r="P7" s="103"/>
      <c r="Q7" s="103"/>
      <c r="R7" s="103"/>
      <c r="S7" s="103"/>
      <c r="T7" s="103"/>
      <c r="U7" s="103"/>
      <c r="V7" s="104"/>
      <c r="W7" s="103">
        <f aca="true" t="shared" si="0" ref="W7:W20">SUM(D7:U7)</f>
        <v>148500</v>
      </c>
      <c r="X7" s="103">
        <v>12500</v>
      </c>
      <c r="Y7" s="103">
        <v>0</v>
      </c>
      <c r="Z7" s="103">
        <v>12500</v>
      </c>
      <c r="AA7" s="103">
        <v>12500</v>
      </c>
      <c r="AB7" s="103">
        <v>12500</v>
      </c>
      <c r="AC7" s="103">
        <v>33500</v>
      </c>
      <c r="AD7" s="103">
        <v>17500</v>
      </c>
      <c r="AE7" s="103">
        <v>0</v>
      </c>
      <c r="AF7" s="103">
        <v>0</v>
      </c>
      <c r="AG7" s="103">
        <v>0</v>
      </c>
      <c r="AH7" s="103">
        <v>0</v>
      </c>
      <c r="AI7" s="105">
        <f aca="true" t="shared" si="1" ref="AI7:AI20">SUM(X7:AH7)</f>
        <v>101000</v>
      </c>
      <c r="AJ7" s="104">
        <f>W7-AI7</f>
        <v>47500</v>
      </c>
    </row>
    <row r="8" spans="1:36" ht="26.25">
      <c r="A8" s="100">
        <v>3</v>
      </c>
      <c r="B8" s="101" t="s">
        <v>282</v>
      </c>
      <c r="C8" s="102"/>
      <c r="D8" s="102"/>
      <c r="E8" s="102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/>
      <c r="W8" s="103">
        <f t="shared" si="0"/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5">
        <f t="shared" si="1"/>
        <v>0</v>
      </c>
      <c r="AJ8" s="104">
        <f>W8-AI8</f>
        <v>0</v>
      </c>
    </row>
    <row r="9" spans="1:36" ht="23.25">
      <c r="A9" s="106">
        <v>4</v>
      </c>
      <c r="B9" s="101" t="s">
        <v>283</v>
      </c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71669.25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/>
      <c r="W9" s="110">
        <f t="shared" si="0"/>
        <v>71669.25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55742.75</v>
      </c>
      <c r="AD9" s="108">
        <v>7963.25</v>
      </c>
      <c r="AE9" s="108">
        <v>0</v>
      </c>
      <c r="AF9" s="108">
        <v>0</v>
      </c>
      <c r="AG9" s="108">
        <v>0</v>
      </c>
      <c r="AH9" s="108">
        <v>0</v>
      </c>
      <c r="AI9" s="105">
        <f t="shared" si="1"/>
        <v>63706</v>
      </c>
      <c r="AJ9" s="104">
        <f>W9-AI9</f>
        <v>7963.25</v>
      </c>
    </row>
    <row r="10" spans="1:36" ht="21">
      <c r="A10" s="112">
        <v>5</v>
      </c>
      <c r="B10" s="113" t="s">
        <v>284</v>
      </c>
      <c r="C10" s="114"/>
      <c r="D10" s="114"/>
      <c r="E10" s="114"/>
      <c r="F10" s="115">
        <v>0</v>
      </c>
      <c r="G10" s="115">
        <v>0</v>
      </c>
      <c r="H10" s="115">
        <v>0</v>
      </c>
      <c r="I10" s="115">
        <v>30630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/>
      <c r="W10" s="110">
        <f t="shared" si="0"/>
        <v>30630</v>
      </c>
      <c r="X10" s="115">
        <v>0</v>
      </c>
      <c r="Y10" s="115">
        <v>0</v>
      </c>
      <c r="Z10" s="115">
        <v>0</v>
      </c>
      <c r="AA10" s="115">
        <v>8870</v>
      </c>
      <c r="AB10" s="115">
        <v>8870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05">
        <f t="shared" si="1"/>
        <v>17740</v>
      </c>
      <c r="AJ10" s="111">
        <f aca="true" t="shared" si="2" ref="AJ10:AJ18">W10-AI10</f>
        <v>12890</v>
      </c>
    </row>
    <row r="11" spans="1:36" ht="21">
      <c r="A11" s="112">
        <v>6</v>
      </c>
      <c r="B11" s="113" t="s">
        <v>285</v>
      </c>
      <c r="C11" s="130">
        <v>58000</v>
      </c>
      <c r="D11" s="114"/>
      <c r="E11" s="114">
        <v>0</v>
      </c>
      <c r="F11" s="115">
        <v>1110300</v>
      </c>
      <c r="G11" s="115">
        <v>0</v>
      </c>
      <c r="H11" s="115">
        <v>0</v>
      </c>
      <c r="I11" s="115">
        <v>740200</v>
      </c>
      <c r="J11" s="115">
        <v>0</v>
      </c>
      <c r="K11" s="115">
        <v>0</v>
      </c>
      <c r="L11" s="115">
        <v>0</v>
      </c>
      <c r="M11" s="115">
        <v>721700</v>
      </c>
      <c r="N11" s="115">
        <v>370100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/>
      <c r="W11" s="110">
        <f>SUM(D11:U11)-(H11+L11+P11)</f>
        <v>2942300</v>
      </c>
      <c r="X11" s="115">
        <v>737000</v>
      </c>
      <c r="Y11" s="115">
        <v>368100</v>
      </c>
      <c r="Z11" s="115">
        <v>367500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05">
        <f t="shared" si="1"/>
        <v>1472600</v>
      </c>
      <c r="AJ11" s="111">
        <f>W11-AI11+H11+L11+P11</f>
        <v>1469700</v>
      </c>
    </row>
    <row r="12" spans="1:36" ht="21">
      <c r="A12" s="112">
        <v>7</v>
      </c>
      <c r="B12" s="113" t="s">
        <v>286</v>
      </c>
      <c r="C12" s="114">
        <v>0</v>
      </c>
      <c r="D12" s="114"/>
      <c r="E12" s="114"/>
      <c r="F12" s="115">
        <v>194400</v>
      </c>
      <c r="G12" s="115">
        <v>0</v>
      </c>
      <c r="H12" s="115">
        <v>0</v>
      </c>
      <c r="I12" s="115">
        <v>194400</v>
      </c>
      <c r="J12" s="115">
        <v>0</v>
      </c>
      <c r="K12" s="115">
        <v>0</v>
      </c>
      <c r="L12" s="115">
        <v>0</v>
      </c>
      <c r="M12" s="115">
        <v>64800</v>
      </c>
      <c r="N12" s="115">
        <v>64800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/>
      <c r="W12" s="103">
        <f>SUM(D12:U12)-(P12)</f>
        <v>518400</v>
      </c>
      <c r="X12" s="115">
        <v>128800</v>
      </c>
      <c r="Y12" s="115">
        <v>64000</v>
      </c>
      <c r="Z12" s="115">
        <v>63200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05">
        <f t="shared" si="1"/>
        <v>256000</v>
      </c>
      <c r="AJ12" s="111">
        <f>W12-AI12+H12+L12+P12</f>
        <v>262400</v>
      </c>
    </row>
    <row r="13" spans="1:36" ht="21">
      <c r="A13" s="112">
        <v>10</v>
      </c>
      <c r="B13" s="113" t="s">
        <v>287</v>
      </c>
      <c r="C13" s="114">
        <v>450</v>
      </c>
      <c r="D13" s="114"/>
      <c r="E13" s="114"/>
      <c r="F13" s="115">
        <v>1500</v>
      </c>
      <c r="G13" s="115">
        <v>0</v>
      </c>
      <c r="H13" s="115">
        <v>0</v>
      </c>
      <c r="I13" s="115">
        <v>1000</v>
      </c>
      <c r="J13" s="115">
        <v>0</v>
      </c>
      <c r="K13" s="115">
        <v>0</v>
      </c>
      <c r="L13" s="115">
        <v>0</v>
      </c>
      <c r="M13" s="115">
        <v>2000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/>
      <c r="W13" s="103">
        <f t="shared" si="0"/>
        <v>4500</v>
      </c>
      <c r="X13" s="115">
        <v>500</v>
      </c>
      <c r="Y13" s="115">
        <v>500</v>
      </c>
      <c r="Z13" s="115">
        <v>500</v>
      </c>
      <c r="AA13" s="115">
        <v>500</v>
      </c>
      <c r="AB13" s="115">
        <v>500</v>
      </c>
      <c r="AC13" s="115">
        <v>500</v>
      </c>
      <c r="AD13" s="115">
        <v>500</v>
      </c>
      <c r="AE13" s="115">
        <v>0</v>
      </c>
      <c r="AF13" s="115">
        <v>0</v>
      </c>
      <c r="AG13" s="115">
        <v>0</v>
      </c>
      <c r="AH13" s="115">
        <v>0</v>
      </c>
      <c r="AI13" s="105">
        <f t="shared" si="1"/>
        <v>3500</v>
      </c>
      <c r="AJ13" s="111">
        <f t="shared" si="2"/>
        <v>1000</v>
      </c>
    </row>
    <row r="14" spans="1:36" ht="21">
      <c r="A14" s="112">
        <v>11</v>
      </c>
      <c r="B14" s="113" t="s">
        <v>288</v>
      </c>
      <c r="C14" s="114">
        <v>9000</v>
      </c>
      <c r="D14" s="114"/>
      <c r="E14" s="114"/>
      <c r="F14" s="115">
        <v>30000</v>
      </c>
      <c r="G14" s="115">
        <v>0</v>
      </c>
      <c r="H14" s="115">
        <v>0</v>
      </c>
      <c r="I14" s="115">
        <v>20000</v>
      </c>
      <c r="J14" s="115">
        <v>0</v>
      </c>
      <c r="K14" s="115">
        <v>0</v>
      </c>
      <c r="L14" s="115">
        <v>0</v>
      </c>
      <c r="M14" s="115">
        <v>40000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/>
      <c r="W14" s="103">
        <f t="shared" si="0"/>
        <v>90000</v>
      </c>
      <c r="X14" s="115">
        <f>10000+10000</f>
        <v>20000</v>
      </c>
      <c r="Y14" s="115">
        <v>10000</v>
      </c>
      <c r="Z14" s="115">
        <f>10000</f>
        <v>10000</v>
      </c>
      <c r="AA14" s="115">
        <v>10000</v>
      </c>
      <c r="AB14" s="115">
        <v>0</v>
      </c>
      <c r="AC14" s="115">
        <v>20000</v>
      </c>
      <c r="AD14" s="115">
        <v>10000</v>
      </c>
      <c r="AE14" s="115">
        <v>0</v>
      </c>
      <c r="AF14" s="115">
        <v>0</v>
      </c>
      <c r="AG14" s="115">
        <v>0</v>
      </c>
      <c r="AH14" s="115">
        <v>0</v>
      </c>
      <c r="AI14" s="105">
        <f t="shared" si="1"/>
        <v>80000</v>
      </c>
      <c r="AJ14" s="111">
        <f t="shared" si="2"/>
        <v>10000</v>
      </c>
    </row>
    <row r="15" spans="1:36" ht="21">
      <c r="A15" s="112">
        <v>12</v>
      </c>
      <c r="B15" s="113" t="s">
        <v>319</v>
      </c>
      <c r="C15" s="114"/>
      <c r="D15" s="114"/>
      <c r="E15" s="114"/>
      <c r="F15" s="115">
        <v>23100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/>
      <c r="W15" s="103">
        <f t="shared" si="0"/>
        <v>23100</v>
      </c>
      <c r="X15" s="115">
        <v>0</v>
      </c>
      <c r="Y15" s="115">
        <v>23100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05">
        <f t="shared" si="1"/>
        <v>23100</v>
      </c>
      <c r="AJ15" s="111">
        <f t="shared" si="2"/>
        <v>0</v>
      </c>
    </row>
    <row r="16" spans="1:36" ht="21">
      <c r="A16" s="112"/>
      <c r="B16" s="113" t="s">
        <v>289</v>
      </c>
      <c r="C16" s="114"/>
      <c r="D16" s="114"/>
      <c r="E16" s="114"/>
      <c r="F16" s="115"/>
      <c r="G16" s="115"/>
      <c r="H16" s="115"/>
      <c r="I16" s="115">
        <v>35000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3">
        <f t="shared" si="0"/>
        <v>35000</v>
      </c>
      <c r="X16" s="115">
        <v>0</v>
      </c>
      <c r="Y16" s="115">
        <v>0</v>
      </c>
      <c r="Z16" s="115">
        <v>35000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05"/>
      <c r="AJ16" s="111"/>
    </row>
    <row r="17" spans="1:37" ht="21">
      <c r="A17" s="112">
        <v>13</v>
      </c>
      <c r="B17" s="113" t="s">
        <v>290</v>
      </c>
      <c r="C17" s="114"/>
      <c r="D17" s="114"/>
      <c r="E17" s="114"/>
      <c r="F17" s="115">
        <v>0</v>
      </c>
      <c r="G17" s="115">
        <v>0</v>
      </c>
      <c r="H17" s="115">
        <v>0</v>
      </c>
      <c r="I17" s="115">
        <v>0</v>
      </c>
      <c r="J17" s="115">
        <v>32500</v>
      </c>
      <c r="K17" s="115">
        <v>0</v>
      </c>
      <c r="L17" s="115">
        <v>0</v>
      </c>
      <c r="M17" s="115">
        <v>32500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/>
      <c r="W17" s="103">
        <f t="shared" si="0"/>
        <v>65000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05">
        <f t="shared" si="1"/>
        <v>0</v>
      </c>
      <c r="AJ17" s="111">
        <f t="shared" si="2"/>
        <v>65000</v>
      </c>
      <c r="AK17" s="116"/>
    </row>
    <row r="18" spans="1:36" ht="21">
      <c r="A18" s="112">
        <v>14</v>
      </c>
      <c r="B18" s="113" t="s">
        <v>291</v>
      </c>
      <c r="C18" s="114"/>
      <c r="D18" s="114"/>
      <c r="E18" s="114"/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/>
      <c r="W18" s="103">
        <f t="shared" si="0"/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05">
        <f t="shared" si="1"/>
        <v>0</v>
      </c>
      <c r="AJ18" s="111">
        <f t="shared" si="2"/>
        <v>0</v>
      </c>
    </row>
    <row r="19" spans="1:36" ht="21">
      <c r="A19" s="112">
        <v>16</v>
      </c>
      <c r="B19" s="129" t="s">
        <v>243</v>
      </c>
      <c r="C19" s="114"/>
      <c r="D19" s="114"/>
      <c r="E19" s="114"/>
      <c r="F19" s="115">
        <v>0</v>
      </c>
      <c r="G19" s="115">
        <v>957200</v>
      </c>
      <c r="H19" s="115"/>
      <c r="I19" s="115">
        <v>1233000</v>
      </c>
      <c r="J19" s="115">
        <v>1233000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03">
        <f t="shared" si="0"/>
        <v>3423200</v>
      </c>
      <c r="X19" s="115">
        <v>0</v>
      </c>
      <c r="Y19" s="115">
        <v>957200</v>
      </c>
      <c r="Z19" s="115">
        <v>1233000</v>
      </c>
      <c r="AA19" s="115">
        <v>1233000</v>
      </c>
      <c r="AB19" s="115">
        <v>1534950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27">
        <f t="shared" si="1"/>
        <v>4958150</v>
      </c>
      <c r="AJ19" s="128">
        <v>0</v>
      </c>
    </row>
    <row r="20" spans="1:36" ht="21">
      <c r="A20" s="132">
        <v>17</v>
      </c>
      <c r="B20" s="133" t="s">
        <v>357</v>
      </c>
      <c r="C20" s="134"/>
      <c r="D20" s="134"/>
      <c r="E20" s="134"/>
      <c r="F20" s="135"/>
      <c r="G20" s="135"/>
      <c r="H20" s="135"/>
      <c r="I20" s="135"/>
      <c r="J20" s="135"/>
      <c r="K20" s="135">
        <v>584769</v>
      </c>
      <c r="L20" s="135"/>
      <c r="M20" s="135"/>
      <c r="N20" s="135">
        <v>433907</v>
      </c>
      <c r="O20" s="135"/>
      <c r="P20" s="135"/>
      <c r="Q20" s="135"/>
      <c r="R20" s="135"/>
      <c r="S20" s="135"/>
      <c r="T20" s="135"/>
      <c r="U20" s="135"/>
      <c r="V20" s="135"/>
      <c r="W20" s="103">
        <f t="shared" si="0"/>
        <v>1018676</v>
      </c>
      <c r="X20" s="135"/>
      <c r="Y20" s="135"/>
      <c r="Z20" s="135"/>
      <c r="AA20" s="135"/>
      <c r="AB20" s="135">
        <v>584769</v>
      </c>
      <c r="AC20" s="135"/>
      <c r="AD20" s="135"/>
      <c r="AE20" s="135"/>
      <c r="AF20" s="135"/>
      <c r="AG20" s="135"/>
      <c r="AH20" s="135"/>
      <c r="AI20" s="127">
        <f t="shared" si="1"/>
        <v>584769</v>
      </c>
      <c r="AJ20" s="128">
        <v>0</v>
      </c>
    </row>
    <row r="21" spans="1:36" s="120" customFormat="1" ht="21.75" thickBot="1">
      <c r="A21" s="117"/>
      <c r="B21" s="118"/>
      <c r="C21" s="119">
        <f>SUM(C6:C20)</f>
        <v>427474.13</v>
      </c>
      <c r="D21" s="119">
        <f aca="true" t="shared" si="3" ref="D21:AJ21">SUM(D6:D20)</f>
        <v>0</v>
      </c>
      <c r="E21" s="119">
        <f t="shared" si="3"/>
        <v>0</v>
      </c>
      <c r="F21" s="119">
        <f t="shared" si="3"/>
        <v>1396800</v>
      </c>
      <c r="G21" s="119">
        <f t="shared" si="3"/>
        <v>957200</v>
      </c>
      <c r="H21" s="119">
        <f t="shared" si="3"/>
        <v>0</v>
      </c>
      <c r="I21" s="119">
        <f t="shared" si="3"/>
        <v>2291730</v>
      </c>
      <c r="J21" s="119">
        <f t="shared" si="3"/>
        <v>1265500</v>
      </c>
      <c r="K21" s="119">
        <f t="shared" si="3"/>
        <v>584769</v>
      </c>
      <c r="L21" s="119">
        <f t="shared" si="3"/>
        <v>0</v>
      </c>
      <c r="M21" s="119">
        <f t="shared" si="3"/>
        <v>1006169.25</v>
      </c>
      <c r="N21" s="119">
        <f t="shared" si="3"/>
        <v>868807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3"/>
        <v>0</v>
      </c>
      <c r="W21" s="119">
        <f t="shared" si="3"/>
        <v>8370975.25</v>
      </c>
      <c r="X21" s="119">
        <f t="shared" si="3"/>
        <v>898800</v>
      </c>
      <c r="Y21" s="119">
        <f t="shared" si="3"/>
        <v>1422900</v>
      </c>
      <c r="Z21" s="119">
        <f t="shared" si="3"/>
        <v>1721700</v>
      </c>
      <c r="AA21" s="119">
        <f t="shared" si="3"/>
        <v>1264870</v>
      </c>
      <c r="AB21" s="119">
        <f t="shared" si="3"/>
        <v>2141589</v>
      </c>
      <c r="AC21" s="119">
        <f t="shared" si="3"/>
        <v>109742.75</v>
      </c>
      <c r="AD21" s="119">
        <f t="shared" si="3"/>
        <v>35963.25</v>
      </c>
      <c r="AE21" s="119">
        <f t="shared" si="3"/>
        <v>0</v>
      </c>
      <c r="AF21" s="119">
        <f t="shared" si="3"/>
        <v>0</v>
      </c>
      <c r="AG21" s="119">
        <f t="shared" si="3"/>
        <v>0</v>
      </c>
      <c r="AH21" s="119">
        <f t="shared" si="3"/>
        <v>0</v>
      </c>
      <c r="AI21" s="119">
        <f t="shared" si="3"/>
        <v>7560565</v>
      </c>
      <c r="AJ21" s="119">
        <f t="shared" si="3"/>
        <v>1876453.25</v>
      </c>
    </row>
    <row r="22" ht="19.5" thickTop="1"/>
  </sheetData>
  <sheetProtection/>
  <mergeCells count="3">
    <mergeCell ref="A2:AJ2"/>
    <mergeCell ref="A3:AJ3"/>
    <mergeCell ref="A4:AJ4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6"/>
  <sheetViews>
    <sheetView view="pageBreakPreview" zoomScale="110" zoomScaleNormal="110" zoomScaleSheetLayoutView="110" zoomScalePageLayoutView="0" workbookViewId="0" topLeftCell="A22">
      <selection activeCell="C41" sqref="C41"/>
    </sheetView>
  </sheetViews>
  <sheetFormatPr defaultColWidth="9.140625" defaultRowHeight="21.75" customHeight="1"/>
  <cols>
    <col min="1" max="1" width="19.28125" style="1" customWidth="1"/>
    <col min="2" max="2" width="16.28125" style="1" customWidth="1"/>
    <col min="3" max="3" width="16.00390625" style="201" customWidth="1"/>
    <col min="4" max="4" width="9.7109375" style="1" customWidth="1"/>
    <col min="5" max="5" width="15.28125" style="1" customWidth="1"/>
    <col min="6" max="6" width="19.00390625" style="2" customWidth="1"/>
    <col min="7" max="7" width="8.421875" style="1" customWidth="1"/>
    <col min="8" max="8" width="9.140625" style="1" customWidth="1"/>
    <col min="9" max="9" width="25.00390625" style="1" customWidth="1"/>
    <col min="10" max="10" width="16.57421875" style="1" customWidth="1"/>
    <col min="11" max="16384" width="9.140625" style="1" customWidth="1"/>
  </cols>
  <sheetData>
    <row r="1" spans="1:7" ht="15.75" customHeight="1">
      <c r="A1" s="454" t="s">
        <v>76</v>
      </c>
      <c r="B1" s="222"/>
      <c r="C1" s="455"/>
      <c r="D1" s="222"/>
      <c r="E1" s="222"/>
      <c r="F1" s="222"/>
      <c r="G1" s="456"/>
    </row>
    <row r="2" spans="1:7" ht="15.75" customHeight="1">
      <c r="A2" s="841" t="s">
        <v>320</v>
      </c>
      <c r="B2" s="842"/>
      <c r="C2" s="843"/>
      <c r="D2" s="841" t="s">
        <v>18</v>
      </c>
      <c r="E2" s="842"/>
      <c r="F2" s="842"/>
      <c r="G2" s="843"/>
    </row>
    <row r="3" spans="1:7" ht="21.75" customHeight="1" thickBot="1">
      <c r="A3" s="841"/>
      <c r="B3" s="842"/>
      <c r="C3" s="843"/>
      <c r="D3" s="159" t="s">
        <v>365</v>
      </c>
      <c r="E3" s="159"/>
      <c r="F3" s="246" t="s">
        <v>366</v>
      </c>
      <c r="G3" s="459"/>
    </row>
    <row r="4" spans="1:7" ht="15.75" customHeight="1">
      <c r="A4" s="460" t="s">
        <v>707</v>
      </c>
      <c r="B4" s="222"/>
      <c r="C4" s="257"/>
      <c r="D4" s="456"/>
      <c r="E4" s="460"/>
      <c r="F4" s="461">
        <v>39367993.32</v>
      </c>
      <c r="G4" s="462" t="s">
        <v>30</v>
      </c>
    </row>
    <row r="5" spans="1:7" ht="15.75" customHeight="1">
      <c r="A5" s="158" t="s">
        <v>108</v>
      </c>
      <c r="B5" s="159"/>
      <c r="C5" s="252"/>
      <c r="D5" s="459"/>
      <c r="E5" s="158"/>
      <c r="F5" s="463"/>
      <c r="G5" s="464"/>
    </row>
    <row r="6" spans="1:7" ht="15.75" customHeight="1">
      <c r="A6" s="465" t="s">
        <v>12</v>
      </c>
      <c r="B6" s="466" t="s">
        <v>13</v>
      </c>
      <c r="C6" s="467" t="s">
        <v>46</v>
      </c>
      <c r="D6" s="468"/>
      <c r="E6" s="465"/>
      <c r="F6" s="469"/>
      <c r="G6" s="459"/>
    </row>
    <row r="7" spans="1:7" ht="15.75" customHeight="1">
      <c r="A7" s="470"/>
      <c r="B7" s="471"/>
      <c r="C7" s="472"/>
      <c r="D7" s="459"/>
      <c r="E7" s="158"/>
      <c r="F7" s="473"/>
      <c r="G7" s="459"/>
    </row>
    <row r="8" spans="1:7" ht="15.75" customHeight="1">
      <c r="A8" s="158" t="s">
        <v>14</v>
      </c>
      <c r="B8" s="159"/>
      <c r="C8" s="252"/>
      <c r="D8" s="459"/>
      <c r="E8" s="158"/>
      <c r="F8" s="159"/>
      <c r="G8" s="459"/>
    </row>
    <row r="9" spans="1:7" ht="15.75" customHeight="1">
      <c r="A9" s="465" t="s">
        <v>51</v>
      </c>
      <c r="B9" s="466" t="s">
        <v>71</v>
      </c>
      <c r="C9" s="467" t="s">
        <v>46</v>
      </c>
      <c r="D9" s="468"/>
      <c r="E9" s="465"/>
      <c r="F9" s="159"/>
      <c r="G9" s="459"/>
    </row>
    <row r="10" spans="1:9" ht="15.75" customHeight="1">
      <c r="A10" s="597" t="s">
        <v>518</v>
      </c>
      <c r="B10" s="532" t="s">
        <v>519</v>
      </c>
      <c r="C10" s="533">
        <v>480</v>
      </c>
      <c r="D10" s="459"/>
      <c r="E10" s="465"/>
      <c r="F10" s="159"/>
      <c r="G10" s="459"/>
      <c r="I10" s="633" t="s">
        <v>517</v>
      </c>
    </row>
    <row r="11" spans="1:7" ht="15.75" customHeight="1">
      <c r="A11" s="597" t="s">
        <v>577</v>
      </c>
      <c r="B11" s="598" t="s">
        <v>578</v>
      </c>
      <c r="C11" s="533">
        <v>300</v>
      </c>
      <c r="D11" s="459"/>
      <c r="E11" s="465"/>
      <c r="F11" s="159"/>
      <c r="G11" s="459"/>
    </row>
    <row r="12" spans="1:7" ht="15.75" customHeight="1">
      <c r="A12" s="597" t="s">
        <v>644</v>
      </c>
      <c r="B12" s="598" t="s">
        <v>645</v>
      </c>
      <c r="C12" s="533">
        <v>180</v>
      </c>
      <c r="D12" s="464"/>
      <c r="E12" s="158"/>
      <c r="F12" s="171"/>
      <c r="G12" s="464"/>
    </row>
    <row r="13" spans="1:7" ht="15.75" customHeight="1">
      <c r="A13" s="597" t="s">
        <v>644</v>
      </c>
      <c r="B13" s="598" t="s">
        <v>646</v>
      </c>
      <c r="C13" s="533">
        <v>180</v>
      </c>
      <c r="D13" s="464"/>
      <c r="E13" s="158"/>
      <c r="F13" s="171"/>
      <c r="G13" s="464"/>
    </row>
    <row r="14" spans="1:7" ht="15.75" customHeight="1">
      <c r="A14" s="597" t="s">
        <v>678</v>
      </c>
      <c r="B14" s="598" t="s">
        <v>671</v>
      </c>
      <c r="C14" s="533">
        <v>3861</v>
      </c>
      <c r="D14" s="464"/>
      <c r="E14" s="158"/>
      <c r="F14" s="171"/>
      <c r="G14" s="464"/>
    </row>
    <row r="15" spans="1:9" ht="15.75" customHeight="1">
      <c r="A15" s="597" t="s">
        <v>672</v>
      </c>
      <c r="B15" s="598" t="s">
        <v>673</v>
      </c>
      <c r="C15" s="533">
        <v>240</v>
      </c>
      <c r="D15" s="464"/>
      <c r="E15" s="158"/>
      <c r="F15" s="171"/>
      <c r="G15" s="464"/>
      <c r="I15" s="1" t="s">
        <v>688</v>
      </c>
    </row>
    <row r="16" spans="1:9" ht="15.75" customHeight="1">
      <c r="A16" s="597" t="s">
        <v>672</v>
      </c>
      <c r="B16" s="598" t="s">
        <v>674</v>
      </c>
      <c r="C16" s="701">
        <v>240</v>
      </c>
      <c r="D16" s="464"/>
      <c r="E16" s="158"/>
      <c r="F16" s="171"/>
      <c r="G16" s="464"/>
      <c r="I16" s="1" t="s">
        <v>689</v>
      </c>
    </row>
    <row r="17" spans="1:9" ht="15.75" customHeight="1">
      <c r="A17" s="597" t="s">
        <v>672</v>
      </c>
      <c r="B17" s="598" t="s">
        <v>675</v>
      </c>
      <c r="C17" s="700">
        <v>240</v>
      </c>
      <c r="D17" s="464"/>
      <c r="E17" s="158"/>
      <c r="F17" s="171"/>
      <c r="G17" s="464"/>
      <c r="I17" s="1" t="s">
        <v>690</v>
      </c>
    </row>
    <row r="18" spans="1:9" ht="15.75" customHeight="1">
      <c r="A18" s="597" t="s">
        <v>672</v>
      </c>
      <c r="B18" s="598" t="s">
        <v>676</v>
      </c>
      <c r="C18" s="700">
        <v>240</v>
      </c>
      <c r="D18" s="464"/>
      <c r="E18" s="158"/>
      <c r="F18" s="171"/>
      <c r="G18" s="464"/>
      <c r="I18" s="1" t="s">
        <v>691</v>
      </c>
    </row>
    <row r="19" spans="1:9" ht="15.75" customHeight="1">
      <c r="A19" s="597" t="s">
        <v>672</v>
      </c>
      <c r="B19" s="598" t="s">
        <v>677</v>
      </c>
      <c r="C19" s="533">
        <v>480</v>
      </c>
      <c r="E19" s="158"/>
      <c r="F19" s="171"/>
      <c r="G19" s="464"/>
      <c r="I19" s="1" t="s">
        <v>692</v>
      </c>
    </row>
    <row r="20" spans="1:9" ht="15.75" customHeight="1">
      <c r="A20" s="597" t="s">
        <v>679</v>
      </c>
      <c r="B20" s="598" t="s">
        <v>680</v>
      </c>
      <c r="C20" s="700">
        <v>240</v>
      </c>
      <c r="D20" s="464"/>
      <c r="E20" s="158"/>
      <c r="F20" s="171"/>
      <c r="G20" s="464"/>
      <c r="I20" s="1" t="s">
        <v>693</v>
      </c>
    </row>
    <row r="21" spans="1:9" ht="15.75" customHeight="1">
      <c r="A21" s="597" t="s">
        <v>679</v>
      </c>
      <c r="B21" s="598" t="s">
        <v>681</v>
      </c>
      <c r="C21" s="533">
        <v>480</v>
      </c>
      <c r="D21" s="698"/>
      <c r="E21" s="158"/>
      <c r="F21" s="171"/>
      <c r="G21" s="464"/>
      <c r="I21" s="1" t="s">
        <v>694</v>
      </c>
    </row>
    <row r="22" spans="1:9" ht="15.75" customHeight="1">
      <c r="A22" s="597" t="s">
        <v>686</v>
      </c>
      <c r="B22" s="598" t="s">
        <v>687</v>
      </c>
      <c r="C22" s="533">
        <v>10744.54</v>
      </c>
      <c r="D22" s="698"/>
      <c r="E22" s="158"/>
      <c r="F22" s="171"/>
      <c r="G22" s="464"/>
      <c r="I22" s="1" t="s">
        <v>695</v>
      </c>
    </row>
    <row r="23" spans="1:7" ht="15.75" customHeight="1">
      <c r="A23" s="597" t="s">
        <v>713</v>
      </c>
      <c r="B23" s="598" t="s">
        <v>714</v>
      </c>
      <c r="C23" s="533">
        <v>405</v>
      </c>
      <c r="D23" s="698"/>
      <c r="E23" s="158"/>
      <c r="F23" s="171"/>
      <c r="G23" s="464"/>
    </row>
    <row r="24" spans="1:7" ht="15.75" customHeight="1">
      <c r="A24" s="597" t="s">
        <v>710</v>
      </c>
      <c r="B24" s="598" t="s">
        <v>712</v>
      </c>
      <c r="C24" s="533">
        <v>135</v>
      </c>
      <c r="D24" s="698"/>
      <c r="E24" s="158"/>
      <c r="F24" s="171"/>
      <c r="G24" s="464"/>
    </row>
    <row r="25" spans="1:9" ht="15.75" customHeight="1">
      <c r="A25" s="597" t="s">
        <v>710</v>
      </c>
      <c r="B25" s="598" t="s">
        <v>711</v>
      </c>
      <c r="C25" s="533">
        <v>42062.25</v>
      </c>
      <c r="D25" s="464"/>
      <c r="E25" s="158"/>
      <c r="F25" s="171"/>
      <c r="G25" s="464"/>
      <c r="I25" s="1" t="s">
        <v>696</v>
      </c>
    </row>
    <row r="26" spans="1:7" ht="15.75" customHeight="1">
      <c r="A26" s="597" t="s">
        <v>708</v>
      </c>
      <c r="B26" s="598" t="s">
        <v>709</v>
      </c>
      <c r="C26" s="533">
        <v>28215.57</v>
      </c>
      <c r="D26" s="698"/>
      <c r="E26" s="158"/>
      <c r="F26" s="171"/>
      <c r="G26" s="464"/>
    </row>
    <row r="27" spans="1:7" ht="15.75" customHeight="1">
      <c r="A27" s="597"/>
      <c r="B27" s="598"/>
      <c r="C27" s="533"/>
      <c r="D27" s="698"/>
      <c r="E27" s="158"/>
      <c r="F27" s="171"/>
      <c r="G27" s="464"/>
    </row>
    <row r="28" spans="1:7" ht="15.75" customHeight="1">
      <c r="A28" s="597"/>
      <c r="B28" s="598"/>
      <c r="E28" s="158"/>
      <c r="F28" s="171"/>
      <c r="G28" s="464"/>
    </row>
    <row r="29" spans="1:7" ht="15.75" customHeight="1">
      <c r="A29" s="597"/>
      <c r="B29" s="598"/>
      <c r="C29" s="533"/>
      <c r="D29" s="698"/>
      <c r="E29" s="158"/>
      <c r="F29" s="171"/>
      <c r="G29" s="464"/>
    </row>
    <row r="30" spans="1:7" ht="15.75" customHeight="1">
      <c r="A30" s="597"/>
      <c r="B30" s="598"/>
      <c r="C30" s="533"/>
      <c r="D30" s="698"/>
      <c r="E30" s="158"/>
      <c r="F30" s="171"/>
      <c r="G30" s="464"/>
    </row>
    <row r="31" spans="1:7" ht="15.75" customHeight="1">
      <c r="A31" s="597"/>
      <c r="B31" s="598"/>
      <c r="C31" s="533"/>
      <c r="D31" s="698"/>
      <c r="E31" s="158"/>
      <c r="F31" s="171"/>
      <c r="G31" s="464"/>
    </row>
    <row r="32" spans="5:7" ht="15.75" customHeight="1">
      <c r="E32" s="158"/>
      <c r="F32" s="171"/>
      <c r="G32" s="464"/>
    </row>
    <row r="33" spans="1:7" ht="15.75" customHeight="1">
      <c r="A33" s="597"/>
      <c r="B33" s="598"/>
      <c r="C33" s="533"/>
      <c r="D33" s="464"/>
      <c r="E33" s="158"/>
      <c r="F33" s="171"/>
      <c r="G33" s="464"/>
    </row>
    <row r="34" spans="1:7" ht="15.75" customHeight="1">
      <c r="A34" s="597"/>
      <c r="B34" s="598"/>
      <c r="C34" s="533"/>
      <c r="D34" s="464"/>
      <c r="E34" s="158"/>
      <c r="F34" s="171">
        <f>SUM(C10:C34)</f>
        <v>88723.36</v>
      </c>
      <c r="G34" s="464"/>
    </row>
    <row r="35" spans="1:7" ht="15.75" customHeight="1">
      <c r="A35" s="597"/>
      <c r="B35" s="598"/>
      <c r="C35" s="533"/>
      <c r="D35" s="464"/>
      <c r="E35" s="158"/>
      <c r="F35" s="171"/>
      <c r="G35" s="464"/>
    </row>
    <row r="36" spans="1:7" ht="15.75" customHeight="1">
      <c r="A36" s="833" t="s">
        <v>75</v>
      </c>
      <c r="B36" s="834"/>
      <c r="C36" s="834"/>
      <c r="D36" s="835"/>
      <c r="E36" s="158"/>
      <c r="F36" s="477"/>
      <c r="G36" s="464"/>
    </row>
    <row r="37" spans="1:9" ht="21.75" customHeight="1">
      <c r="A37" s="822" t="s">
        <v>367</v>
      </c>
      <c r="B37" s="823"/>
      <c r="C37" s="823"/>
      <c r="D37" s="824"/>
      <c r="E37" s="158"/>
      <c r="F37" s="477"/>
      <c r="G37" s="464"/>
      <c r="I37" s="184"/>
    </row>
    <row r="38" spans="1:7" ht="15.75" customHeight="1">
      <c r="A38" s="478" t="s">
        <v>368</v>
      </c>
      <c r="B38" s="479" t="s">
        <v>520</v>
      </c>
      <c r="C38" s="480">
        <v>758.95</v>
      </c>
      <c r="D38" s="459" t="s">
        <v>30</v>
      </c>
      <c r="E38" s="158"/>
      <c r="F38" s="481">
        <f>SUM(C38:C43)</f>
        <v>270405.07</v>
      </c>
      <c r="G38" s="464" t="s">
        <v>30</v>
      </c>
    </row>
    <row r="39" spans="1:9" ht="15.75" customHeight="1">
      <c r="A39" s="482"/>
      <c r="B39" s="479" t="s">
        <v>520</v>
      </c>
      <c r="C39" s="480">
        <v>124499</v>
      </c>
      <c r="D39" s="459" t="s">
        <v>30</v>
      </c>
      <c r="E39" s="158"/>
      <c r="F39" s="481"/>
      <c r="G39" s="464"/>
      <c r="I39" s="136"/>
    </row>
    <row r="40" spans="1:9" ht="15.75" customHeight="1">
      <c r="A40" s="482"/>
      <c r="B40" s="479" t="s">
        <v>520</v>
      </c>
      <c r="C40" s="480">
        <v>0</v>
      </c>
      <c r="D40" s="459" t="s">
        <v>30</v>
      </c>
      <c r="E40" s="158"/>
      <c r="F40" s="481"/>
      <c r="G40" s="464"/>
      <c r="I40" s="136"/>
    </row>
    <row r="41" spans="1:9" ht="15.75" customHeight="1">
      <c r="A41" s="482"/>
      <c r="B41" s="479" t="s">
        <v>520</v>
      </c>
      <c r="C41" s="480">
        <v>0</v>
      </c>
      <c r="D41" s="459" t="s">
        <v>30</v>
      </c>
      <c r="E41" s="158"/>
      <c r="F41" s="481"/>
      <c r="G41" s="464"/>
      <c r="I41" s="136"/>
    </row>
    <row r="42" spans="1:9" ht="15.75" customHeight="1">
      <c r="A42" s="482"/>
      <c r="B42" s="479" t="s">
        <v>557</v>
      </c>
      <c r="C42" s="480">
        <v>145147.12</v>
      </c>
      <c r="D42" s="459" t="s">
        <v>30</v>
      </c>
      <c r="E42" s="158"/>
      <c r="F42" s="481"/>
      <c r="G42" s="464"/>
      <c r="I42" s="136"/>
    </row>
    <row r="43" spans="1:9" ht="15.75" customHeight="1">
      <c r="A43" s="482"/>
      <c r="B43" s="483"/>
      <c r="C43" s="480">
        <v>0</v>
      </c>
      <c r="D43" s="459" t="s">
        <v>30</v>
      </c>
      <c r="E43" s="158"/>
      <c r="F43" s="481"/>
      <c r="G43" s="464"/>
      <c r="I43" s="136" t="e">
        <f>#REF!-#REF!</f>
        <v>#REF!</v>
      </c>
    </row>
    <row r="44" spans="1:7" ht="18" customHeight="1">
      <c r="A44" s="484" t="s">
        <v>369</v>
      </c>
      <c r="D44" s="459" t="s">
        <v>30</v>
      </c>
      <c r="E44" s="158"/>
      <c r="F44" s="477"/>
      <c r="G44" s="459"/>
    </row>
    <row r="45" spans="1:9" ht="15.75" customHeight="1">
      <c r="A45" s="847"/>
      <c r="B45" s="848"/>
      <c r="C45" s="480">
        <v>0</v>
      </c>
      <c r="D45" s="459" t="s">
        <v>30</v>
      </c>
      <c r="E45" s="158"/>
      <c r="F45" s="486"/>
      <c r="G45" s="464" t="s">
        <v>30</v>
      </c>
      <c r="I45" s="184">
        <f>F4</f>
        <v>39367993.32</v>
      </c>
    </row>
    <row r="46" spans="1:10" ht="15.75" customHeight="1" thickBot="1">
      <c r="A46" s="487" t="s">
        <v>715</v>
      </c>
      <c r="B46" s="475"/>
      <c r="C46" s="480"/>
      <c r="D46" s="459"/>
      <c r="E46" s="158"/>
      <c r="F46" s="488">
        <f>F4-F34-F38+F45</f>
        <v>39008864.89</v>
      </c>
      <c r="G46" s="464" t="s">
        <v>30</v>
      </c>
      <c r="I46" s="184">
        <f>กระดาษทำการ!K5</f>
        <v>39008864.88999999</v>
      </c>
      <c r="J46" s="184"/>
    </row>
    <row r="47" spans="1:10" ht="15.75" customHeight="1" thickBot="1" thickTop="1">
      <c r="A47" s="489"/>
      <c r="B47" s="490"/>
      <c r="C47" s="491"/>
      <c r="D47" s="492"/>
      <c r="E47" s="489"/>
      <c r="F47" s="493" t="s">
        <v>74</v>
      </c>
      <c r="G47" s="492"/>
      <c r="I47" s="184"/>
      <c r="J47" s="184"/>
    </row>
    <row r="48" spans="1:9" ht="15.75" customHeight="1">
      <c r="A48" s="460" t="s">
        <v>34</v>
      </c>
      <c r="B48" s="222"/>
      <c r="C48" s="455"/>
      <c r="D48" s="222" t="s">
        <v>17</v>
      </c>
      <c r="E48" s="222"/>
      <c r="F48" s="259"/>
      <c r="G48" s="456"/>
      <c r="I48" s="184">
        <f>I45-I46</f>
        <v>359128.43000000715</v>
      </c>
    </row>
    <row r="49" spans="1:9" ht="22.5" customHeight="1">
      <c r="A49" s="158" t="s">
        <v>444</v>
      </c>
      <c r="B49" s="159"/>
      <c r="C49" s="459"/>
      <c r="D49" s="825" t="s">
        <v>445</v>
      </c>
      <c r="E49" s="750"/>
      <c r="F49" s="750"/>
      <c r="G49" s="826"/>
      <c r="I49" s="184" t="e">
        <f>F4-#REF!-F38-#REF!</f>
        <v>#REF!</v>
      </c>
    </row>
    <row r="50" spans="1:9" ht="24" customHeight="1">
      <c r="A50" s="825" t="s">
        <v>443</v>
      </c>
      <c r="B50" s="750"/>
      <c r="C50" s="826"/>
      <c r="D50" s="825" t="s">
        <v>558</v>
      </c>
      <c r="E50" s="750"/>
      <c r="F50" s="750"/>
      <c r="G50" s="826"/>
      <c r="I50" s="184"/>
    </row>
    <row r="51" spans="1:9" ht="15.75" customHeight="1">
      <c r="A51" s="820" t="s">
        <v>442</v>
      </c>
      <c r="B51" s="736"/>
      <c r="C51" s="821"/>
      <c r="D51" s="827" t="s">
        <v>559</v>
      </c>
      <c r="E51" s="828"/>
      <c r="F51" s="828"/>
      <c r="G51" s="829"/>
      <c r="I51" s="184"/>
    </row>
    <row r="52" spans="1:7" ht="15.75" customHeight="1" thickBot="1">
      <c r="A52" s="836"/>
      <c r="B52" s="837"/>
      <c r="C52" s="838"/>
      <c r="D52" s="830"/>
      <c r="E52" s="831"/>
      <c r="F52" s="831"/>
      <c r="G52" s="832"/>
    </row>
    <row r="53" spans="1:7" ht="15.75" customHeight="1">
      <c r="A53" s="170"/>
      <c r="B53" s="170"/>
      <c r="C53" s="170"/>
      <c r="D53" s="246"/>
      <c r="E53" s="246"/>
      <c r="F53" s="246"/>
      <c r="G53" s="246"/>
    </row>
    <row r="54" spans="1:7" ht="15.75" customHeight="1">
      <c r="A54" s="170"/>
      <c r="B54" s="170"/>
      <c r="C54" s="170"/>
      <c r="D54" s="246"/>
      <c r="E54" s="246"/>
      <c r="F54" s="246"/>
      <c r="G54" s="246"/>
    </row>
    <row r="55" spans="1:7" ht="15.75" customHeight="1">
      <c r="A55" s="170"/>
      <c r="B55" s="170"/>
      <c r="C55" s="170"/>
      <c r="D55" s="246"/>
      <c r="E55" s="246"/>
      <c r="F55" s="246"/>
      <c r="G55" s="246"/>
    </row>
    <row r="56" spans="1:7" ht="15.75" customHeight="1">
      <c r="A56" s="170"/>
      <c r="B56" s="170"/>
      <c r="C56" s="170"/>
      <c r="D56" s="246"/>
      <c r="E56" s="246"/>
      <c r="F56" s="246"/>
      <c r="G56" s="246"/>
    </row>
    <row r="57" spans="1:7" ht="15.75" customHeight="1">
      <c r="A57" s="170"/>
      <c r="B57" s="170"/>
      <c r="C57" s="170"/>
      <c r="D57" s="246"/>
      <c r="E57" s="246"/>
      <c r="F57" s="246"/>
      <c r="G57" s="246"/>
    </row>
    <row r="58" spans="1:7" ht="15.75" customHeight="1">
      <c r="A58" s="170"/>
      <c r="B58" s="170"/>
      <c r="C58" s="170"/>
      <c r="D58" s="246"/>
      <c r="E58" s="246"/>
      <c r="F58" s="246"/>
      <c r="G58" s="246"/>
    </row>
    <row r="59" spans="1:7" ht="15.75" customHeight="1">
      <c r="A59" s="170"/>
      <c r="B59" s="170"/>
      <c r="C59" s="170"/>
      <c r="D59" s="246"/>
      <c r="E59" s="246"/>
      <c r="F59" s="246"/>
      <c r="G59" s="246"/>
    </row>
    <row r="60" spans="1:7" ht="15.75" customHeight="1">
      <c r="A60" s="170"/>
      <c r="B60" s="170"/>
      <c r="C60" s="170"/>
      <c r="D60" s="246"/>
      <c r="E60" s="246"/>
      <c r="F60" s="246"/>
      <c r="G60" s="246"/>
    </row>
    <row r="61" spans="1:7" ht="15.75" customHeight="1">
      <c r="A61" s="170"/>
      <c r="B61" s="170"/>
      <c r="C61" s="170"/>
      <c r="D61" s="246"/>
      <c r="E61" s="246"/>
      <c r="F61" s="246"/>
      <c r="G61" s="246"/>
    </row>
    <row r="62" spans="1:7" ht="15.75" customHeight="1">
      <c r="A62" s="170"/>
      <c r="B62" s="170"/>
      <c r="C62" s="170"/>
      <c r="D62" s="246"/>
      <c r="E62" s="246"/>
      <c r="F62" s="246"/>
      <c r="G62" s="246"/>
    </row>
    <row r="63" spans="1:7" ht="15.75" customHeight="1">
      <c r="A63" s="170"/>
      <c r="B63" s="170"/>
      <c r="C63" s="170"/>
      <c r="D63" s="246"/>
      <c r="E63" s="246"/>
      <c r="F63" s="246"/>
      <c r="G63" s="246"/>
    </row>
    <row r="64" spans="1:7" ht="15.75" customHeight="1">
      <c r="A64" s="170"/>
      <c r="B64" s="170"/>
      <c r="C64" s="170"/>
      <c r="D64" s="246"/>
      <c r="E64" s="246"/>
      <c r="F64" s="246"/>
      <c r="G64" s="246"/>
    </row>
    <row r="65" spans="1:7" ht="15.75" customHeight="1">
      <c r="A65" s="170"/>
      <c r="B65" s="170"/>
      <c r="C65" s="170"/>
      <c r="D65" s="246"/>
      <c r="E65" s="246"/>
      <c r="F65" s="246"/>
      <c r="G65" s="246"/>
    </row>
    <row r="66" spans="1:7" ht="15.75" customHeight="1">
      <c r="A66" s="170"/>
      <c r="B66" s="170"/>
      <c r="C66" s="170"/>
      <c r="D66" s="246"/>
      <c r="E66" s="246"/>
      <c r="F66" s="246"/>
      <c r="G66" s="246"/>
    </row>
    <row r="67" spans="1:7" ht="15.75" customHeight="1">
      <c r="A67" s="170"/>
      <c r="B67" s="170"/>
      <c r="C67" s="170"/>
      <c r="D67" s="246"/>
      <c r="E67" s="246"/>
      <c r="F67" s="246"/>
      <c r="G67" s="246"/>
    </row>
    <row r="68" spans="1:7" ht="15.75" customHeight="1">
      <c r="A68" s="170"/>
      <c r="B68" s="170"/>
      <c r="C68" s="170"/>
      <c r="D68" s="246"/>
      <c r="E68" s="246"/>
      <c r="F68" s="246"/>
      <c r="G68" s="246"/>
    </row>
    <row r="69" spans="1:7" ht="15.75" customHeight="1">
      <c r="A69" s="170"/>
      <c r="B69" s="170"/>
      <c r="C69" s="170"/>
      <c r="D69" s="246"/>
      <c r="E69" s="246"/>
      <c r="F69" s="246"/>
      <c r="G69" s="246"/>
    </row>
    <row r="70" spans="1:7" ht="15.75" customHeight="1">
      <c r="A70" s="170"/>
      <c r="B70" s="170"/>
      <c r="C70" s="170"/>
      <c r="D70" s="246"/>
      <c r="E70" s="246"/>
      <c r="F70" s="246"/>
      <c r="G70" s="246"/>
    </row>
    <row r="71" spans="1:7" ht="15.75" customHeight="1">
      <c r="A71" s="170"/>
      <c r="B71" s="170"/>
      <c r="C71" s="170"/>
      <c r="D71" s="246"/>
      <c r="E71" s="246"/>
      <c r="F71" s="246"/>
      <c r="G71" s="246"/>
    </row>
    <row r="72" spans="1:7" ht="15.75" customHeight="1">
      <c r="A72" s="170"/>
      <c r="B72" s="170"/>
      <c r="C72" s="170"/>
      <c r="D72" s="246"/>
      <c r="E72" s="246"/>
      <c r="F72" s="246"/>
      <c r="G72" s="246"/>
    </row>
    <row r="73" spans="1:7" ht="15.75" customHeight="1">
      <c r="A73" s="170"/>
      <c r="B73" s="170"/>
      <c r="C73" s="170"/>
      <c r="D73" s="246"/>
      <c r="E73" s="246"/>
      <c r="F73" s="246"/>
      <c r="G73" s="246"/>
    </row>
    <row r="74" spans="1:7" ht="15.75" customHeight="1">
      <c r="A74" s="170"/>
      <c r="B74" s="170"/>
      <c r="C74" s="170"/>
      <c r="D74" s="246"/>
      <c r="E74" s="246"/>
      <c r="F74" s="246"/>
      <c r="G74" s="246"/>
    </row>
    <row r="75" spans="1:7" ht="15.75" customHeight="1">
      <c r="A75" s="170"/>
      <c r="B75" s="170"/>
      <c r="C75" s="170"/>
      <c r="D75" s="246"/>
      <c r="E75" s="246"/>
      <c r="F75" s="246"/>
      <c r="G75" s="246"/>
    </row>
    <row r="76" spans="1:7" ht="15.75" customHeight="1">
      <c r="A76" s="170"/>
      <c r="B76" s="170"/>
      <c r="C76" s="170"/>
      <c r="D76" s="246"/>
      <c r="E76" s="246"/>
      <c r="F76" s="246"/>
      <c r="G76" s="246"/>
    </row>
    <row r="77" spans="1:7" ht="15.75" customHeight="1">
      <c r="A77" s="170"/>
      <c r="B77" s="170"/>
      <c r="C77" s="170"/>
      <c r="D77" s="246"/>
      <c r="E77" s="246"/>
      <c r="F77" s="246"/>
      <c r="G77" s="246"/>
    </row>
    <row r="78" spans="1:7" ht="15.75" customHeight="1">
      <c r="A78" s="170"/>
      <c r="B78" s="170"/>
      <c r="C78" s="170"/>
      <c r="D78" s="246"/>
      <c r="E78" s="246"/>
      <c r="F78" s="246"/>
      <c r="G78" s="246"/>
    </row>
    <row r="79" spans="1:7" ht="15.75" customHeight="1">
      <c r="A79" s="170"/>
      <c r="B79" s="170"/>
      <c r="C79" s="170"/>
      <c r="D79" s="246"/>
      <c r="E79" s="246"/>
      <c r="F79" s="246"/>
      <c r="G79" s="246"/>
    </row>
    <row r="80" spans="1:7" ht="15.75" customHeight="1">
      <c r="A80" s="170"/>
      <c r="B80" s="170"/>
      <c r="C80" s="170"/>
      <c r="D80" s="246"/>
      <c r="E80" s="246"/>
      <c r="F80" s="246"/>
      <c r="G80" s="246"/>
    </row>
    <row r="81" spans="1:7" ht="15.75" customHeight="1">
      <c r="A81" s="170"/>
      <c r="B81" s="170"/>
      <c r="C81" s="170"/>
      <c r="D81" s="246"/>
      <c r="E81" s="246"/>
      <c r="F81" s="246"/>
      <c r="G81" s="246"/>
    </row>
    <row r="82" spans="1:7" ht="15.75" customHeight="1">
      <c r="A82" s="170"/>
      <c r="B82" s="170"/>
      <c r="C82" s="170"/>
      <c r="D82" s="246"/>
      <c r="E82" s="246"/>
      <c r="F82" s="246"/>
      <c r="G82" s="246"/>
    </row>
    <row r="83" spans="1:7" ht="15.75" customHeight="1">
      <c r="A83" s="170"/>
      <c r="B83" s="170"/>
      <c r="C83" s="170"/>
      <c r="D83" s="246"/>
      <c r="E83" s="246"/>
      <c r="F83" s="246"/>
      <c r="G83" s="246"/>
    </row>
    <row r="84" spans="1:7" ht="15.75" customHeight="1">
      <c r="A84" s="170"/>
      <c r="B84" s="170"/>
      <c r="C84" s="170"/>
      <c r="D84" s="246"/>
      <c r="E84" s="246"/>
      <c r="F84" s="246"/>
      <c r="G84" s="246"/>
    </row>
    <row r="85" spans="1:7" ht="15.75" customHeight="1" thickBot="1">
      <c r="A85" s="170"/>
      <c r="B85" s="170"/>
      <c r="C85" s="170"/>
      <c r="D85" s="246"/>
      <c r="E85" s="246"/>
      <c r="F85" s="246"/>
      <c r="G85" s="246"/>
    </row>
    <row r="86" spans="1:7" ht="21.75" customHeight="1">
      <c r="A86" s="839" t="s">
        <v>76</v>
      </c>
      <c r="B86" s="840"/>
      <c r="C86" s="455"/>
      <c r="D86" s="222"/>
      <c r="E86" s="222"/>
      <c r="F86" s="222"/>
      <c r="G86" s="456"/>
    </row>
    <row r="87" spans="1:7" ht="21.75" customHeight="1">
      <c r="A87" s="158"/>
      <c r="B87" s="159"/>
      <c r="C87" s="494"/>
      <c r="D87" s="457"/>
      <c r="E87" s="218" t="s">
        <v>124</v>
      </c>
      <c r="F87" s="219" t="s">
        <v>126</v>
      </c>
      <c r="G87" s="458"/>
    </row>
    <row r="88" spans="1:7" ht="21.75" customHeight="1">
      <c r="A88" s="841" t="s">
        <v>320</v>
      </c>
      <c r="B88" s="842"/>
      <c r="C88" s="843"/>
      <c r="D88" s="246" t="s">
        <v>370</v>
      </c>
      <c r="E88" s="218" t="s">
        <v>125</v>
      </c>
      <c r="F88" s="159"/>
      <c r="G88" s="459"/>
    </row>
    <row r="89" spans="1:7" ht="21.75" customHeight="1" thickBot="1">
      <c r="A89" s="844"/>
      <c r="B89" s="845"/>
      <c r="C89" s="846"/>
      <c r="D89" s="495" t="s">
        <v>371</v>
      </c>
      <c r="E89" s="499"/>
      <c r="F89" s="499"/>
      <c r="G89" s="500"/>
    </row>
    <row r="90" spans="1:7" ht="21.75" customHeight="1">
      <c r="A90" s="460" t="s">
        <v>654</v>
      </c>
      <c r="B90" s="222"/>
      <c r="C90" s="257"/>
      <c r="D90" s="456"/>
      <c r="E90" s="501"/>
      <c r="F90" s="461">
        <v>4990239.71</v>
      </c>
      <c r="G90" s="496"/>
    </row>
    <row r="91" spans="1:7" ht="21.75" customHeight="1">
      <c r="A91" s="158" t="s">
        <v>108</v>
      </c>
      <c r="B91" s="159"/>
      <c r="C91" s="252"/>
      <c r="D91" s="459"/>
      <c r="E91" s="158"/>
      <c r="F91" s="463"/>
      <c r="G91" s="496"/>
    </row>
    <row r="92" spans="1:7" ht="21.75" customHeight="1">
      <c r="A92" s="465" t="s">
        <v>12</v>
      </c>
      <c r="B92" s="466" t="s">
        <v>13</v>
      </c>
      <c r="C92" s="466" t="s">
        <v>46</v>
      </c>
      <c r="D92" s="468"/>
      <c r="E92" s="465"/>
      <c r="F92" s="469"/>
      <c r="G92" s="464" t="s">
        <v>30</v>
      </c>
    </row>
    <row r="93" spans="1:7" ht="21.75" customHeight="1">
      <c r="A93" s="502"/>
      <c r="B93" s="503"/>
      <c r="C93" s="472"/>
      <c r="D93" s="459"/>
      <c r="E93" s="158"/>
      <c r="F93" s="473"/>
      <c r="G93" s="464"/>
    </row>
    <row r="94" spans="1:7" ht="21.75" customHeight="1">
      <c r="A94" s="470"/>
      <c r="B94" s="471"/>
      <c r="C94" s="472"/>
      <c r="D94" s="459"/>
      <c r="E94" s="158"/>
      <c r="F94" s="171"/>
      <c r="G94" s="459"/>
    </row>
    <row r="95" spans="1:7" ht="21.75" customHeight="1">
      <c r="A95" s="158" t="s">
        <v>14</v>
      </c>
      <c r="B95" s="159"/>
      <c r="C95" s="252"/>
      <c r="D95" s="459"/>
      <c r="E95" s="158"/>
      <c r="F95" s="159"/>
      <c r="G95" s="459"/>
    </row>
    <row r="96" spans="1:7" ht="21.75" customHeight="1">
      <c r="A96" s="465" t="s">
        <v>51</v>
      </c>
      <c r="B96" s="466" t="s">
        <v>71</v>
      </c>
      <c r="C96" s="466" t="s">
        <v>46</v>
      </c>
      <c r="D96" s="468"/>
      <c r="E96" s="465"/>
      <c r="F96" s="159"/>
      <c r="G96" s="459"/>
    </row>
    <row r="97" spans="1:7" ht="21.75" customHeight="1">
      <c r="A97" s="474"/>
      <c r="B97" s="476"/>
      <c r="C97" s="504"/>
      <c r="D97" s="468"/>
      <c r="E97" s="465"/>
      <c r="F97" s="159"/>
      <c r="G97" s="459"/>
    </row>
    <row r="98" spans="1:7" ht="21.75" customHeight="1">
      <c r="A98" s="833" t="s">
        <v>75</v>
      </c>
      <c r="B98" s="834"/>
      <c r="C98" s="834"/>
      <c r="D98" s="835"/>
      <c r="E98" s="158"/>
      <c r="F98" s="477"/>
      <c r="G98" s="459"/>
    </row>
    <row r="99" spans="1:7" ht="21.75" customHeight="1">
      <c r="A99" s="822" t="s">
        <v>367</v>
      </c>
      <c r="B99" s="823"/>
      <c r="C99" s="823"/>
      <c r="D99" s="824"/>
      <c r="E99" s="158"/>
      <c r="F99" s="477"/>
      <c r="G99" s="464"/>
    </row>
    <row r="100" spans="1:7" ht="21.75" customHeight="1">
      <c r="A100" s="478" t="s">
        <v>368</v>
      </c>
      <c r="B100" s="635" t="s">
        <v>522</v>
      </c>
      <c r="C100" s="506">
        <v>0</v>
      </c>
      <c r="D100" s="464" t="s">
        <v>30</v>
      </c>
      <c r="E100" s="507"/>
      <c r="F100" s="505">
        <f>C100+C101+C102+C106+C105+C107+C103+C104</f>
        <v>335579.21</v>
      </c>
      <c r="G100" s="464" t="s">
        <v>30</v>
      </c>
    </row>
    <row r="101" spans="1:7" ht="21.75" customHeight="1">
      <c r="A101" s="478"/>
      <c r="B101" s="635" t="s">
        <v>521</v>
      </c>
      <c r="C101" s="480">
        <v>58.2</v>
      </c>
      <c r="D101" s="464" t="s">
        <v>30</v>
      </c>
      <c r="E101" s="507"/>
      <c r="F101" s="505"/>
      <c r="G101" s="464"/>
    </row>
    <row r="102" spans="1:7" ht="21.75" customHeight="1">
      <c r="A102" s="478"/>
      <c r="B102" s="635" t="s">
        <v>522</v>
      </c>
      <c r="C102" s="506"/>
      <c r="D102" s="464" t="s">
        <v>30</v>
      </c>
      <c r="E102" s="507"/>
      <c r="F102" s="505"/>
      <c r="G102" s="464"/>
    </row>
    <row r="103" spans="1:7" ht="21.75" customHeight="1">
      <c r="A103" s="478"/>
      <c r="B103" s="635" t="s">
        <v>521</v>
      </c>
      <c r="C103" s="480"/>
      <c r="D103" s="464" t="s">
        <v>30</v>
      </c>
      <c r="E103" s="507"/>
      <c r="F103" s="505"/>
      <c r="G103" s="464"/>
    </row>
    <row r="104" spans="1:7" ht="21.75" customHeight="1">
      <c r="A104" s="478"/>
      <c r="B104" s="635" t="s">
        <v>417</v>
      </c>
      <c r="C104" s="480">
        <v>10432.95</v>
      </c>
      <c r="D104" s="464" t="s">
        <v>30</v>
      </c>
      <c r="E104" s="507"/>
      <c r="F104" s="505"/>
      <c r="G104" s="464"/>
    </row>
    <row r="105" spans="1:7" ht="21.75" customHeight="1">
      <c r="A105" s="478"/>
      <c r="B105" s="639" t="s">
        <v>536</v>
      </c>
      <c r="C105" s="480">
        <v>153610.45</v>
      </c>
      <c r="D105" s="464" t="s">
        <v>30</v>
      </c>
      <c r="E105" s="507"/>
      <c r="F105" s="505"/>
      <c r="G105" s="464"/>
    </row>
    <row r="106" spans="1:7" ht="21.75" customHeight="1">
      <c r="A106" s="478"/>
      <c r="B106" s="636" t="s">
        <v>389</v>
      </c>
      <c r="C106" s="506"/>
      <c r="D106" s="464" t="s">
        <v>30</v>
      </c>
      <c r="E106" s="507"/>
      <c r="F106" s="505"/>
      <c r="G106" s="464"/>
    </row>
    <row r="107" spans="1:7" ht="21.75" customHeight="1">
      <c r="A107" s="478"/>
      <c r="B107" s="639" t="s">
        <v>390</v>
      </c>
      <c r="C107" s="480">
        <v>171477.61</v>
      </c>
      <c r="D107" s="464" t="s">
        <v>30</v>
      </c>
      <c r="E107" s="507"/>
      <c r="F107" s="505"/>
      <c r="G107" s="464"/>
    </row>
    <row r="108" spans="1:7" ht="21.75" customHeight="1">
      <c r="A108" s="478"/>
      <c r="C108" s="1"/>
      <c r="E108" s="507"/>
      <c r="F108" s="505"/>
      <c r="G108" s="464"/>
    </row>
    <row r="109" spans="1:9" ht="21.75" customHeight="1">
      <c r="A109" s="487"/>
      <c r="B109" s="636"/>
      <c r="C109" s="506"/>
      <c r="D109" s="464"/>
      <c r="E109" s="508"/>
      <c r="F109" s="481"/>
      <c r="G109" s="464"/>
      <c r="I109" s="2">
        <v>4089009</v>
      </c>
    </row>
    <row r="110" spans="1:9" ht="21.75" customHeight="1">
      <c r="A110" s="487"/>
      <c r="B110" s="635"/>
      <c r="C110" s="506"/>
      <c r="D110" s="464" t="s">
        <v>30</v>
      </c>
      <c r="E110" s="508"/>
      <c r="F110" s="481"/>
      <c r="G110" s="464"/>
      <c r="I110" s="2"/>
    </row>
    <row r="111" spans="1:9" ht="21.75" customHeight="1">
      <c r="A111" s="487"/>
      <c r="B111" s="636"/>
      <c r="C111" s="506"/>
      <c r="D111" s="464"/>
      <c r="E111" s="508"/>
      <c r="F111" s="481"/>
      <c r="G111" s="464"/>
      <c r="I111" s="2"/>
    </row>
    <row r="112" spans="1:7" ht="21.75" customHeight="1">
      <c r="A112" s="484" t="s">
        <v>369</v>
      </c>
      <c r="B112" s="485"/>
      <c r="C112" s="480">
        <v>0</v>
      </c>
      <c r="D112" s="464" t="s">
        <v>30</v>
      </c>
      <c r="E112" s="509"/>
      <c r="F112" s="220">
        <v>0</v>
      </c>
      <c r="G112" s="464" t="s">
        <v>30</v>
      </c>
    </row>
    <row r="113" spans="1:7" ht="21.75" customHeight="1" thickBot="1">
      <c r="A113" s="497" t="s">
        <v>119</v>
      </c>
      <c r="D113" s="464" t="s">
        <v>30</v>
      </c>
      <c r="E113" s="510"/>
      <c r="F113" s="498">
        <v>0</v>
      </c>
      <c r="G113" s="464" t="s">
        <v>30</v>
      </c>
    </row>
    <row r="114" spans="1:9" ht="21.75" customHeight="1" thickBot="1">
      <c r="A114" s="487" t="s">
        <v>655</v>
      </c>
      <c r="B114" s="475"/>
      <c r="C114" s="480"/>
      <c r="D114" s="459"/>
      <c r="E114" s="510"/>
      <c r="F114" s="461">
        <f>F90-F100</f>
        <v>4654660.5</v>
      </c>
      <c r="G114" s="464" t="s">
        <v>30</v>
      </c>
      <c r="I114" s="2">
        <v>3577801.17</v>
      </c>
    </row>
    <row r="115" spans="1:9" ht="21.75" customHeight="1" thickBot="1" thickTop="1">
      <c r="A115" s="489"/>
      <c r="B115" s="490"/>
      <c r="C115" s="491"/>
      <c r="D115" s="492"/>
      <c r="E115" s="489"/>
      <c r="F115" s="511" t="s">
        <v>74</v>
      </c>
      <c r="G115" s="492"/>
      <c r="I115" s="184"/>
    </row>
    <row r="116" spans="1:9" ht="21.75" customHeight="1">
      <c r="A116" s="460" t="s">
        <v>34</v>
      </c>
      <c r="B116" s="222"/>
      <c r="C116" s="455"/>
      <c r="D116" s="222" t="s">
        <v>17</v>
      </c>
      <c r="E116" s="222"/>
      <c r="F116" s="259"/>
      <c r="G116" s="456"/>
      <c r="I116" s="184">
        <f>I114-F100</f>
        <v>3242221.96</v>
      </c>
    </row>
    <row r="117" spans="1:7" ht="21.75" customHeight="1">
      <c r="A117" s="158"/>
      <c r="B117" s="159"/>
      <c r="C117" s="494"/>
      <c r="D117" s="159"/>
      <c r="E117" s="159"/>
      <c r="F117" s="171"/>
      <c r="G117" s="459"/>
    </row>
    <row r="118" spans="1:7" ht="21.75" customHeight="1">
      <c r="A118" s="158" t="s">
        <v>444</v>
      </c>
      <c r="B118" s="159"/>
      <c r="C118" s="459"/>
      <c r="D118" s="825" t="s">
        <v>445</v>
      </c>
      <c r="E118" s="750"/>
      <c r="F118" s="750"/>
      <c r="G118" s="826"/>
    </row>
    <row r="119" spans="1:7" ht="21.75" customHeight="1">
      <c r="A119" s="825" t="s">
        <v>443</v>
      </c>
      <c r="B119" s="750"/>
      <c r="C119" s="826"/>
      <c r="D119" s="825" t="s">
        <v>558</v>
      </c>
      <c r="E119" s="750"/>
      <c r="F119" s="750"/>
      <c r="G119" s="826"/>
    </row>
    <row r="120" spans="1:7" ht="21.75" customHeight="1">
      <c r="A120" s="820" t="s">
        <v>442</v>
      </c>
      <c r="B120" s="736"/>
      <c r="C120" s="821"/>
      <c r="D120" s="827" t="s">
        <v>559</v>
      </c>
      <c r="E120" s="828"/>
      <c r="F120" s="828"/>
      <c r="G120" s="829"/>
    </row>
    <row r="121" spans="1:7" ht="21.75" customHeight="1" thickBot="1">
      <c r="A121" s="836"/>
      <c r="B121" s="837"/>
      <c r="C121" s="838"/>
      <c r="D121" s="830"/>
      <c r="E121" s="831"/>
      <c r="F121" s="831"/>
      <c r="G121" s="832"/>
    </row>
    <row r="122" spans="1:7" ht="21.75" customHeight="1">
      <c r="A122" s="221"/>
      <c r="B122" s="221"/>
      <c r="C122" s="221"/>
      <c r="D122" s="221"/>
      <c r="E122" s="221"/>
      <c r="F122" s="221"/>
      <c r="G122" s="221"/>
    </row>
    <row r="123" spans="1:7" ht="21.75" customHeight="1">
      <c r="A123" s="170"/>
      <c r="B123" s="170"/>
      <c r="C123" s="170"/>
      <c r="D123" s="170" t="s">
        <v>53</v>
      </c>
      <c r="E123" s="170"/>
      <c r="F123" s="170"/>
      <c r="G123" s="170"/>
    </row>
    <row r="124" spans="1:7" ht="21.75" customHeight="1">
      <c r="A124" s="170"/>
      <c r="B124" s="170"/>
      <c r="C124" s="170"/>
      <c r="D124" s="170"/>
      <c r="E124" s="170"/>
      <c r="F124" s="170"/>
      <c r="G124" s="170"/>
    </row>
    <row r="125" spans="1:7" ht="21.75" customHeight="1">
      <c r="A125" s="170"/>
      <c r="B125" s="170"/>
      <c r="C125" s="170"/>
      <c r="D125" s="170"/>
      <c r="E125" s="170"/>
      <c r="F125" s="170"/>
      <c r="G125" s="170"/>
    </row>
    <row r="126" spans="1:7" ht="21.75" customHeight="1" thickBot="1">
      <c r="A126" s="262"/>
      <c r="B126" s="262"/>
      <c r="C126" s="262"/>
      <c r="D126" s="262"/>
      <c r="E126" s="262"/>
      <c r="F126" s="262"/>
      <c r="G126" s="262"/>
    </row>
  </sheetData>
  <sheetProtection/>
  <mergeCells count="23">
    <mergeCell ref="A2:C3"/>
    <mergeCell ref="D2:G2"/>
    <mergeCell ref="A36:D36"/>
    <mergeCell ref="A37:D37"/>
    <mergeCell ref="A51:C51"/>
    <mergeCell ref="A45:B45"/>
    <mergeCell ref="D121:G121"/>
    <mergeCell ref="A98:D98"/>
    <mergeCell ref="D50:G50"/>
    <mergeCell ref="A121:C121"/>
    <mergeCell ref="A119:C119"/>
    <mergeCell ref="A86:B86"/>
    <mergeCell ref="D52:G52"/>
    <mergeCell ref="A88:C89"/>
    <mergeCell ref="A52:C52"/>
    <mergeCell ref="D120:G120"/>
    <mergeCell ref="A120:C120"/>
    <mergeCell ref="A99:D99"/>
    <mergeCell ref="D119:G119"/>
    <mergeCell ref="A50:C50"/>
    <mergeCell ref="D51:G51"/>
    <mergeCell ref="D49:G49"/>
    <mergeCell ref="D118:G118"/>
  </mergeCells>
  <printOptions horizontalCentered="1"/>
  <pageMargins left="0.3937007874015748" right="0.31496062992125984" top="0.6" bottom="0.16" header="0.35" footer="0.16"/>
  <pageSetup orientation="portrait" paperSize="9" scale="95" r:id="rId1"/>
  <rowBreaks count="2" manualBreakCount="2">
    <brk id="85" max="8" man="1"/>
    <brk id="12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6" sqref="E6"/>
    </sheetView>
  </sheetViews>
  <sheetFormatPr defaultColWidth="25.140625" defaultRowHeight="21.75"/>
  <cols>
    <col min="1" max="1" width="31.421875" style="266" customWidth="1"/>
    <col min="2" max="2" width="8.00390625" style="266" customWidth="1"/>
    <col min="3" max="3" width="13.8515625" style="386" customWidth="1"/>
    <col min="4" max="4" width="13.851562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.00390625" style="375" customWidth="1"/>
    <col min="10" max="10" width="12.7109375" style="376" bestFit="1" customWidth="1"/>
    <col min="11" max="11" width="13.8515625" style="377" bestFit="1" customWidth="1"/>
    <col min="12" max="12" width="14.00390625" style="378" customWidth="1"/>
    <col min="13" max="13" width="15.00390625" style="290" customWidth="1"/>
    <col min="14" max="14" width="25.140625" style="290" customWidth="1"/>
    <col min="15" max="16384" width="25.140625" style="266" customWidth="1"/>
  </cols>
  <sheetData>
    <row r="1" spans="1:18" ht="21">
      <c r="A1" s="756" t="s">
        <v>573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2" s="278" customFormat="1" ht="2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4" ht="21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13475</v>
      </c>
      <c r="H3" s="285">
        <f>'ใบผ่านรายการ 1 '!H6</f>
        <v>13475</v>
      </c>
      <c r="I3" s="286">
        <v>0</v>
      </c>
      <c r="J3" s="287">
        <v>0</v>
      </c>
      <c r="K3" s="288">
        <f>C3+E3+G3+I3-D3-F3-H3-J3</f>
        <v>0</v>
      </c>
      <c r="L3" s="289">
        <v>0</v>
      </c>
      <c r="N3" s="266"/>
    </row>
    <row r="4" spans="1:14" ht="21">
      <c r="A4" s="279" t="s">
        <v>25</v>
      </c>
      <c r="B4" s="280">
        <v>111203</v>
      </c>
      <c r="C4" s="281">
        <v>3268525.74</v>
      </c>
      <c r="D4" s="281">
        <v>0</v>
      </c>
      <c r="E4" s="282">
        <v>0</v>
      </c>
      <c r="F4" s="291">
        <f>ใบผ่านทั่วไป!G49</f>
        <v>0</v>
      </c>
      <c r="G4" s="292">
        <f>'ใบผ่านรายการ 1 '!G7</f>
        <v>0</v>
      </c>
      <c r="H4" s="293">
        <v>0</v>
      </c>
      <c r="I4" s="286">
        <v>0</v>
      </c>
      <c r="J4" s="294">
        <v>0</v>
      </c>
      <c r="K4" s="288">
        <f>C4+E4+G4+I4-D4-F4-H4-J4</f>
        <v>3268525.74</v>
      </c>
      <c r="L4" s="295">
        <v>0</v>
      </c>
      <c r="M4" s="266"/>
      <c r="N4" s="296"/>
    </row>
    <row r="5" spans="1:14" ht="21">
      <c r="A5" s="279" t="s">
        <v>102</v>
      </c>
      <c r="B5" s="297" t="s">
        <v>236</v>
      </c>
      <c r="C5" s="281">
        <v>33785862.47</v>
      </c>
      <c r="D5" s="281">
        <v>0</v>
      </c>
      <c r="E5" s="282">
        <f>ใบผ่านทั่วไป!F48</f>
        <v>0</v>
      </c>
      <c r="F5" s="291">
        <v>0</v>
      </c>
      <c r="G5" s="292">
        <f>'ใบผ่านรายการ 1 '!G8</f>
        <v>1854630.72</v>
      </c>
      <c r="H5" s="293">
        <v>0</v>
      </c>
      <c r="I5" s="286">
        <v>0</v>
      </c>
      <c r="J5" s="294">
        <f>'ใบผ่านรายการ  2'!F46</f>
        <v>2932928.95</v>
      </c>
      <c r="K5" s="288">
        <f>C5+E5+G5+I5-D5-F5-H5-J5</f>
        <v>32707564.24</v>
      </c>
      <c r="L5" s="295">
        <v>0</v>
      </c>
      <c r="M5" s="296"/>
      <c r="N5" s="298">
        <f>SUM(K4:K8)+K10</f>
        <v>37063144.839999996</v>
      </c>
    </row>
    <row r="6" spans="1:14" ht="21">
      <c r="A6" s="299" t="s">
        <v>130</v>
      </c>
      <c r="B6" s="261">
        <v>111202</v>
      </c>
      <c r="C6" s="281">
        <v>957762.87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aca="true" t="shared" si="0" ref="K6:K31">C6+E6+G6+I6-D6-F6-H6-J6</f>
        <v>957762.87</v>
      </c>
      <c r="L6" s="295">
        <v>0</v>
      </c>
      <c r="M6" s="266"/>
      <c r="N6" s="266"/>
    </row>
    <row r="7" spans="1:14" ht="21">
      <c r="A7" s="299" t="s">
        <v>133</v>
      </c>
      <c r="B7" s="261" t="s">
        <v>233</v>
      </c>
      <c r="C7" s="281">
        <v>77.13</v>
      </c>
      <c r="D7" s="281">
        <v>0</v>
      </c>
      <c r="E7" s="282">
        <v>0</v>
      </c>
      <c r="F7" s="291">
        <v>0</v>
      </c>
      <c r="G7" s="292">
        <f>'ใบผ่านรายการ 1 '!G10</f>
        <v>0</v>
      </c>
      <c r="H7" s="293">
        <v>0</v>
      </c>
      <c r="I7" s="286">
        <v>0</v>
      </c>
      <c r="J7" s="294">
        <v>0</v>
      </c>
      <c r="K7" s="288">
        <f t="shared" si="0"/>
        <v>77.13</v>
      </c>
      <c r="L7" s="295">
        <v>0</v>
      </c>
      <c r="M7" s="296">
        <f>SUM(C3:C8)</f>
        <v>38141393.07</v>
      </c>
      <c r="N7" s="266"/>
    </row>
    <row r="8" spans="1:14" ht="21">
      <c r="A8" s="299" t="s">
        <v>121</v>
      </c>
      <c r="B8" s="301" t="s">
        <v>238</v>
      </c>
      <c r="C8" s="281">
        <v>129164.86</v>
      </c>
      <c r="D8" s="281">
        <v>0</v>
      </c>
      <c r="E8" s="282">
        <v>0</v>
      </c>
      <c r="F8" s="291">
        <v>0</v>
      </c>
      <c r="G8" s="292">
        <f>'ใบผ่านรายการ 1 '!G11</f>
        <v>0</v>
      </c>
      <c r="H8" s="293">
        <v>0</v>
      </c>
      <c r="I8" s="286">
        <v>0</v>
      </c>
      <c r="J8" s="294">
        <f>'ใบผ่านรายการ  2'!F47</f>
        <v>0</v>
      </c>
      <c r="K8" s="288">
        <f t="shared" si="0"/>
        <v>129164.86</v>
      </c>
      <c r="L8" s="295">
        <v>0</v>
      </c>
      <c r="M8" s="296">
        <f>SUM(K3:K8)</f>
        <v>37063094.839999996</v>
      </c>
      <c r="N8" s="266"/>
    </row>
    <row r="9" spans="1:14" ht="21">
      <c r="A9" s="299" t="s">
        <v>43</v>
      </c>
      <c r="B9" s="261">
        <v>112002</v>
      </c>
      <c r="C9" s="281">
        <v>5246321.23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5246321.23</v>
      </c>
      <c r="L9" s="295">
        <v>0</v>
      </c>
      <c r="M9" s="266"/>
      <c r="N9" s="266"/>
    </row>
    <row r="10" spans="1:14" ht="2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304"/>
      <c r="J10" s="294"/>
      <c r="K10" s="288">
        <f>C10+E10+G10+I10-D10-F10-H10-J10</f>
        <v>50</v>
      </c>
      <c r="L10" s="295"/>
      <c r="M10" s="266"/>
      <c r="N10" s="266"/>
    </row>
    <row r="11" spans="1:12" s="310" customFormat="1" ht="21">
      <c r="A11" s="279" t="s">
        <v>45</v>
      </c>
      <c r="B11" s="280">
        <v>511000</v>
      </c>
      <c r="C11" s="281">
        <v>7151712.47</v>
      </c>
      <c r="D11" s="281">
        <v>0</v>
      </c>
      <c r="E11" s="305">
        <f>ใบผ่านทั่วไป!F7</f>
        <v>465900</v>
      </c>
      <c r="F11" s="306">
        <v>0</v>
      </c>
      <c r="G11" s="292">
        <v>0</v>
      </c>
      <c r="H11" s="315">
        <v>0</v>
      </c>
      <c r="I11" s="307">
        <f>'ใบผ่านรายการ  2'!E6</f>
        <v>66909.75</v>
      </c>
      <c r="J11" s="308">
        <v>0</v>
      </c>
      <c r="K11" s="288">
        <f>C11+E11+G11+I11-D11-F11-H11-J11</f>
        <v>7684522.22</v>
      </c>
      <c r="L11" s="309">
        <v>0</v>
      </c>
    </row>
    <row r="12" spans="1:13" s="310" customFormat="1" ht="21">
      <c r="A12" s="311" t="s">
        <v>215</v>
      </c>
      <c r="B12" s="312">
        <v>511000</v>
      </c>
      <c r="C12" s="313">
        <v>71669.25</v>
      </c>
      <c r="D12" s="314">
        <v>0</v>
      </c>
      <c r="E12" s="314">
        <v>0</v>
      </c>
      <c r="F12" s="314">
        <v>0</v>
      </c>
      <c r="G12" s="315">
        <v>0</v>
      </c>
      <c r="H12" s="315">
        <v>0</v>
      </c>
      <c r="I12" s="315">
        <f>'ใบผ่านรายการ  2'!E7</f>
        <v>7963.25</v>
      </c>
      <c r="J12" s="314">
        <v>0</v>
      </c>
      <c r="K12" s="313">
        <f>C12+E12+G12+I12-D12-F12-H12-J12</f>
        <v>79632.5</v>
      </c>
      <c r="L12" s="314">
        <v>0</v>
      </c>
      <c r="M12" s="324">
        <f>C11+K12</f>
        <v>7231344.97</v>
      </c>
    </row>
    <row r="13" spans="1:12" s="310" customFormat="1" ht="21">
      <c r="A13" s="299" t="s">
        <v>180</v>
      </c>
      <c r="B13" s="261">
        <v>521000</v>
      </c>
      <c r="C13" s="281">
        <v>2187200</v>
      </c>
      <c r="D13" s="318">
        <v>0</v>
      </c>
      <c r="E13" s="305"/>
      <c r="F13" s="306"/>
      <c r="G13" s="292">
        <v>0</v>
      </c>
      <c r="H13" s="293">
        <v>0</v>
      </c>
      <c r="I13" s="319">
        <f>'ใบผ่านรายการ  2'!E8</f>
        <v>218720</v>
      </c>
      <c r="J13" s="308">
        <v>0</v>
      </c>
      <c r="K13" s="288">
        <f>C13+E13+G13+I13-D13-F13-H13-J13</f>
        <v>2405920</v>
      </c>
      <c r="L13" s="320">
        <v>0</v>
      </c>
    </row>
    <row r="14" spans="1:12" s="310" customFormat="1" ht="21">
      <c r="A14" s="299" t="s">
        <v>182</v>
      </c>
      <c r="B14" s="261">
        <v>522000</v>
      </c>
      <c r="C14" s="281">
        <v>9847448.35</v>
      </c>
      <c r="D14" s="318">
        <v>0</v>
      </c>
      <c r="E14" s="305">
        <v>0</v>
      </c>
      <c r="F14" s="306">
        <v>0</v>
      </c>
      <c r="G14" s="292">
        <v>0</v>
      </c>
      <c r="H14" s="293">
        <v>0</v>
      </c>
      <c r="I14" s="319">
        <f>'ใบผ่านรายการ  2'!E9</f>
        <v>1048366</v>
      </c>
      <c r="J14" s="308">
        <v>0</v>
      </c>
      <c r="K14" s="288">
        <f t="shared" si="0"/>
        <v>10895814.35</v>
      </c>
      <c r="L14" s="320">
        <v>0</v>
      </c>
    </row>
    <row r="15" spans="1:13" s="317" customFormat="1" ht="21">
      <c r="A15" s="321" t="s">
        <v>204</v>
      </c>
      <c r="B15" s="322">
        <v>522000</v>
      </c>
      <c r="C15" s="313">
        <v>0</v>
      </c>
      <c r="D15" s="314">
        <v>0</v>
      </c>
      <c r="E15" s="314">
        <v>0</v>
      </c>
      <c r="F15" s="314">
        <v>0</v>
      </c>
      <c r="G15" s="315">
        <v>0</v>
      </c>
      <c r="H15" s="315">
        <v>0</v>
      </c>
      <c r="I15" s="315">
        <v>0</v>
      </c>
      <c r="J15" s="314">
        <v>0</v>
      </c>
      <c r="K15" s="313">
        <f t="shared" si="0"/>
        <v>0</v>
      </c>
      <c r="L15" s="314">
        <v>0</v>
      </c>
      <c r="M15" s="316">
        <f>SUM(K13:K15)</f>
        <v>13301734.35</v>
      </c>
    </row>
    <row r="16" spans="1:14" s="310" customFormat="1" ht="21">
      <c r="A16" s="299" t="s">
        <v>183</v>
      </c>
      <c r="B16" s="261">
        <v>522000</v>
      </c>
      <c r="C16" s="281">
        <v>754720</v>
      </c>
      <c r="D16" s="318">
        <v>0</v>
      </c>
      <c r="E16" s="305">
        <v>0</v>
      </c>
      <c r="F16" s="306">
        <v>0</v>
      </c>
      <c r="G16" s="292">
        <v>0</v>
      </c>
      <c r="H16" s="293">
        <f>'ใบผ่านรายการ 1 '!H29</f>
        <v>0</v>
      </c>
      <c r="I16" s="319">
        <f>'ใบผ่านรายการ  2'!E10</f>
        <v>68950</v>
      </c>
      <c r="J16" s="308">
        <v>0</v>
      </c>
      <c r="K16" s="288">
        <f t="shared" si="0"/>
        <v>823670</v>
      </c>
      <c r="L16" s="320">
        <v>0</v>
      </c>
      <c r="N16" s="324">
        <f>C14+C16+C18</f>
        <v>14016218.35</v>
      </c>
    </row>
    <row r="17" spans="1:13" s="317" customFormat="1" ht="21">
      <c r="A17" s="323" t="s">
        <v>205</v>
      </c>
      <c r="B17" s="322">
        <v>522000</v>
      </c>
      <c r="C17" s="313">
        <v>0</v>
      </c>
      <c r="D17" s="314">
        <v>0</v>
      </c>
      <c r="E17" s="314">
        <v>0</v>
      </c>
      <c r="F17" s="314">
        <v>0</v>
      </c>
      <c r="G17" s="315">
        <v>0</v>
      </c>
      <c r="H17" s="315">
        <v>0</v>
      </c>
      <c r="I17" s="315">
        <v>0</v>
      </c>
      <c r="J17" s="314">
        <v>0</v>
      </c>
      <c r="K17" s="313">
        <f t="shared" si="0"/>
        <v>0</v>
      </c>
      <c r="L17" s="314">
        <v>0</v>
      </c>
      <c r="M17" s="316">
        <f>SUM(K16:K17)</f>
        <v>823670</v>
      </c>
    </row>
    <row r="18" spans="1:14" s="310" customFormat="1" ht="21">
      <c r="A18" s="299" t="s">
        <v>184</v>
      </c>
      <c r="B18" s="261">
        <v>522000</v>
      </c>
      <c r="C18" s="281">
        <v>3414050</v>
      </c>
      <c r="D18" s="318">
        <v>0</v>
      </c>
      <c r="E18" s="305">
        <v>0</v>
      </c>
      <c r="F18" s="306">
        <v>0</v>
      </c>
      <c r="G18" s="292">
        <v>0</v>
      </c>
      <c r="H18" s="293">
        <v>0</v>
      </c>
      <c r="I18" s="319">
        <f>'ใบผ่านรายการ  2'!E11</f>
        <v>367945</v>
      </c>
      <c r="J18" s="308">
        <v>0</v>
      </c>
      <c r="K18" s="288">
        <f t="shared" si="0"/>
        <v>3781995</v>
      </c>
      <c r="L18" s="320">
        <v>0</v>
      </c>
      <c r="N18" s="324">
        <f>SUM(K14:K19)</f>
        <v>15501479.35</v>
      </c>
    </row>
    <row r="19" spans="1:13" s="317" customFormat="1" ht="21">
      <c r="A19" s="321" t="s">
        <v>202</v>
      </c>
      <c r="B19" s="322">
        <v>522000</v>
      </c>
      <c r="C19" s="313">
        <v>0</v>
      </c>
      <c r="D19" s="314">
        <v>0</v>
      </c>
      <c r="E19" s="314">
        <v>0</v>
      </c>
      <c r="F19" s="314">
        <v>0</v>
      </c>
      <c r="G19" s="315">
        <v>0</v>
      </c>
      <c r="H19" s="315">
        <v>0</v>
      </c>
      <c r="I19" s="315">
        <v>0</v>
      </c>
      <c r="J19" s="314">
        <v>0</v>
      </c>
      <c r="K19" s="313">
        <f t="shared" si="0"/>
        <v>0</v>
      </c>
      <c r="L19" s="314">
        <v>0</v>
      </c>
      <c r="M19" s="316">
        <f>SUM(K18:K19)</f>
        <v>3781995</v>
      </c>
    </row>
    <row r="20" spans="1:14" s="310" customFormat="1" ht="21">
      <c r="A20" s="299" t="s">
        <v>0</v>
      </c>
      <c r="B20" s="261">
        <v>531000</v>
      </c>
      <c r="C20" s="281">
        <v>384850</v>
      </c>
      <c r="D20" s="318">
        <v>0</v>
      </c>
      <c r="E20" s="305">
        <v>0</v>
      </c>
      <c r="F20" s="306">
        <v>0</v>
      </c>
      <c r="G20" s="292">
        <v>0</v>
      </c>
      <c r="H20" s="293">
        <v>0</v>
      </c>
      <c r="I20" s="319">
        <f>'ใบผ่านรายการ  2'!E12</f>
        <v>26600</v>
      </c>
      <c r="J20" s="308">
        <v>0</v>
      </c>
      <c r="K20" s="288">
        <f t="shared" si="0"/>
        <v>411450</v>
      </c>
      <c r="L20" s="320">
        <v>0</v>
      </c>
      <c r="N20" s="324">
        <f>SUM(G11:G31)</f>
        <v>0</v>
      </c>
    </row>
    <row r="21" spans="1:14" s="317" customFormat="1" ht="21">
      <c r="A21" s="321" t="s">
        <v>203</v>
      </c>
      <c r="B21" s="322">
        <v>531000</v>
      </c>
      <c r="C21" s="313">
        <v>175070</v>
      </c>
      <c r="D21" s="314">
        <v>0</v>
      </c>
      <c r="E21" s="315">
        <v>0</v>
      </c>
      <c r="F21" s="314">
        <v>0</v>
      </c>
      <c r="G21" s="315">
        <v>0</v>
      </c>
      <c r="H21" s="315">
        <v>0</v>
      </c>
      <c r="I21" s="315">
        <f>'ใบผ่านรายการ  2'!E13</f>
        <v>9000</v>
      </c>
      <c r="J21" s="314">
        <v>0</v>
      </c>
      <c r="K21" s="313">
        <f t="shared" si="0"/>
        <v>184070</v>
      </c>
      <c r="L21" s="314">
        <v>0</v>
      </c>
      <c r="M21" s="316">
        <f>SUM(K20:K21)</f>
        <v>595520</v>
      </c>
      <c r="N21" s="316">
        <f>C20+C21</f>
        <v>559920</v>
      </c>
    </row>
    <row r="22" spans="1:12" s="310" customFormat="1" ht="21">
      <c r="A22" s="299" t="s">
        <v>1</v>
      </c>
      <c r="B22" s="261">
        <v>532000</v>
      </c>
      <c r="C22" s="281">
        <v>5167091.99</v>
      </c>
      <c r="D22" s="318">
        <v>0</v>
      </c>
      <c r="E22" s="305">
        <f>ใบผ่านทั่วไป!F133</f>
        <v>3500</v>
      </c>
      <c r="F22" s="306" t="e">
        <f>ใบผ่านทั่วไป!#REF!</f>
        <v>#REF!</v>
      </c>
      <c r="G22" s="292">
        <v>0</v>
      </c>
      <c r="H22" s="293">
        <f>'ใบผ่านรายการ 1 '!H35</f>
        <v>0</v>
      </c>
      <c r="I22" s="325">
        <f>'ใบผ่านรายการ  2'!E14</f>
        <v>185071.11</v>
      </c>
      <c r="J22" s="308">
        <v>0</v>
      </c>
      <c r="K22" s="288" t="e">
        <f t="shared" si="0"/>
        <v>#REF!</v>
      </c>
      <c r="L22" s="320">
        <v>0</v>
      </c>
    </row>
    <row r="23" spans="1:13" s="317" customFormat="1" ht="21">
      <c r="A23" s="321" t="s">
        <v>206</v>
      </c>
      <c r="B23" s="322">
        <v>532000</v>
      </c>
      <c r="C23" s="313">
        <v>0</v>
      </c>
      <c r="D23" s="314">
        <v>0</v>
      </c>
      <c r="E23" s="314">
        <v>0</v>
      </c>
      <c r="F23" s="314">
        <v>0</v>
      </c>
      <c r="G23" s="315">
        <v>0</v>
      </c>
      <c r="H23" s="315">
        <v>0</v>
      </c>
      <c r="I23" s="315">
        <v>0</v>
      </c>
      <c r="J23" s="314">
        <v>0</v>
      </c>
      <c r="K23" s="313">
        <f t="shared" si="0"/>
        <v>0</v>
      </c>
      <c r="L23" s="314">
        <v>0</v>
      </c>
      <c r="M23" s="316" t="e">
        <f>SUM(K22:K23)</f>
        <v>#REF!</v>
      </c>
    </row>
    <row r="24" spans="1:12" s="310" customFormat="1" ht="21">
      <c r="A24" s="299" t="s">
        <v>2</v>
      </c>
      <c r="B24" s="261">
        <v>533000</v>
      </c>
      <c r="C24" s="281">
        <v>1422629.22</v>
      </c>
      <c r="D24" s="318">
        <v>0</v>
      </c>
      <c r="E24" s="305">
        <v>0</v>
      </c>
      <c r="F24" s="306">
        <v>0</v>
      </c>
      <c r="G24" s="292">
        <v>0</v>
      </c>
      <c r="H24" s="293">
        <v>0</v>
      </c>
      <c r="I24" s="319">
        <f>'ใบผ่านรายการ  2'!E15</f>
        <v>34591.76</v>
      </c>
      <c r="J24" s="308">
        <v>0</v>
      </c>
      <c r="K24" s="288">
        <f t="shared" si="0"/>
        <v>1457220.98</v>
      </c>
      <c r="L24" s="320">
        <v>0</v>
      </c>
    </row>
    <row r="25" spans="1:13" s="317" customFormat="1" ht="21">
      <c r="A25" s="321" t="s">
        <v>207</v>
      </c>
      <c r="B25" s="322">
        <v>533000</v>
      </c>
      <c r="C25" s="313">
        <v>0</v>
      </c>
      <c r="D25" s="314">
        <v>0</v>
      </c>
      <c r="E25" s="314">
        <v>0</v>
      </c>
      <c r="F25" s="314">
        <v>0</v>
      </c>
      <c r="G25" s="315">
        <v>0</v>
      </c>
      <c r="H25" s="315">
        <v>0</v>
      </c>
      <c r="I25" s="315">
        <v>0</v>
      </c>
      <c r="J25" s="314">
        <v>0</v>
      </c>
      <c r="K25" s="313">
        <f t="shared" si="0"/>
        <v>0</v>
      </c>
      <c r="L25" s="314">
        <v>0</v>
      </c>
      <c r="M25" s="316">
        <f>SUM(K24:K25)</f>
        <v>1457220.98</v>
      </c>
    </row>
    <row r="26" spans="1:12" s="310" customFormat="1" ht="21">
      <c r="A26" s="299" t="s">
        <v>3</v>
      </c>
      <c r="B26" s="261">
        <v>534000</v>
      </c>
      <c r="C26" s="281">
        <v>305384.57</v>
      </c>
      <c r="D26" s="318">
        <v>0</v>
      </c>
      <c r="E26" s="305">
        <v>0</v>
      </c>
      <c r="F26" s="306">
        <v>0</v>
      </c>
      <c r="G26" s="292">
        <v>0</v>
      </c>
      <c r="H26" s="293">
        <f>'ใบผ่านรายการ 1 '!H30</f>
        <v>0</v>
      </c>
      <c r="I26" s="319">
        <f>'ใบผ่านรายการ  2'!E16</f>
        <v>51621.51</v>
      </c>
      <c r="J26" s="308">
        <v>0</v>
      </c>
      <c r="K26" s="288">
        <f t="shared" si="0"/>
        <v>357006.08</v>
      </c>
      <c r="L26" s="320">
        <v>0</v>
      </c>
    </row>
    <row r="27" spans="1:12" s="310" customFormat="1" ht="21">
      <c r="A27" s="299" t="s">
        <v>80</v>
      </c>
      <c r="B27" s="261">
        <v>541000</v>
      </c>
      <c r="C27" s="281">
        <v>385059</v>
      </c>
      <c r="D27" s="318">
        <v>0</v>
      </c>
      <c r="E27" s="305">
        <v>0</v>
      </c>
      <c r="F27" s="306">
        <v>0</v>
      </c>
      <c r="G27" s="292">
        <v>0</v>
      </c>
      <c r="H27" s="293">
        <v>0</v>
      </c>
      <c r="I27" s="319">
        <f>'ใบผ่านรายการ  2'!E18</f>
        <v>0</v>
      </c>
      <c r="J27" s="308">
        <v>0</v>
      </c>
      <c r="K27" s="288">
        <f t="shared" si="0"/>
        <v>385059</v>
      </c>
      <c r="L27" s="320">
        <v>0</v>
      </c>
    </row>
    <row r="28" spans="1:12" s="310" customFormat="1" ht="21">
      <c r="A28" s="299" t="s">
        <v>38</v>
      </c>
      <c r="B28" s="261">
        <v>542000</v>
      </c>
      <c r="C28" s="281">
        <v>491000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2'!E19</f>
        <v>93900</v>
      </c>
      <c r="J28" s="308">
        <v>0</v>
      </c>
      <c r="K28" s="288">
        <f>C28+E28+G28+I28-D28-F28-H28-J28</f>
        <v>584900</v>
      </c>
      <c r="L28" s="320">
        <v>0</v>
      </c>
    </row>
    <row r="29" spans="1:13" s="310" customFormat="1" ht="21">
      <c r="A29" s="326" t="s">
        <v>229</v>
      </c>
      <c r="B29" s="261">
        <v>542000</v>
      </c>
      <c r="C29" s="281">
        <v>0</v>
      </c>
      <c r="D29" s="318">
        <v>0</v>
      </c>
      <c r="E29" s="305">
        <v>0</v>
      </c>
      <c r="F29" s="306"/>
      <c r="G29" s="292">
        <v>0</v>
      </c>
      <c r="H29" s="293"/>
      <c r="I29" s="319">
        <f>'ใบผ่านรายการ  2'!E21</f>
        <v>0</v>
      </c>
      <c r="J29" s="308">
        <v>0</v>
      </c>
      <c r="K29" s="288">
        <f>C29+E29+G29+I29-D29-F29-H29-J29</f>
        <v>0</v>
      </c>
      <c r="L29" s="320">
        <v>0</v>
      </c>
      <c r="M29" s="324">
        <f>SUM(K28:K30)</f>
        <v>584900</v>
      </c>
    </row>
    <row r="30" spans="1:12" s="310" customFormat="1" ht="21">
      <c r="A30" s="326" t="s">
        <v>296</v>
      </c>
      <c r="B30" s="261">
        <v>542000</v>
      </c>
      <c r="C30" s="281">
        <v>0</v>
      </c>
      <c r="D30" s="318">
        <v>0</v>
      </c>
      <c r="E30" s="305"/>
      <c r="F30" s="306"/>
      <c r="G30" s="292">
        <v>0</v>
      </c>
      <c r="H30" s="293"/>
      <c r="I30" s="319">
        <f>'ใบผ่านรายการ  2'!E20</f>
        <v>0</v>
      </c>
      <c r="J30" s="308">
        <v>0</v>
      </c>
      <c r="K30" s="288">
        <f>C30+E30+G30+I30-D30-F30-H30-J30</f>
        <v>0</v>
      </c>
      <c r="L30" s="320">
        <v>0</v>
      </c>
    </row>
    <row r="31" spans="1:12" s="310" customFormat="1" ht="21">
      <c r="A31" s="299" t="s">
        <v>39</v>
      </c>
      <c r="B31" s="261">
        <v>551000</v>
      </c>
      <c r="C31" s="281">
        <v>0</v>
      </c>
      <c r="D31" s="318">
        <v>0</v>
      </c>
      <c r="E31" s="305">
        <v>0</v>
      </c>
      <c r="F31" s="306">
        <v>0</v>
      </c>
      <c r="G31" s="292">
        <v>0</v>
      </c>
      <c r="H31" s="293">
        <v>0</v>
      </c>
      <c r="I31" s="319">
        <f>'ใบผ่านรายการ  2'!E22</f>
        <v>0</v>
      </c>
      <c r="J31" s="308">
        <v>0</v>
      </c>
      <c r="K31" s="288">
        <f t="shared" si="0"/>
        <v>0</v>
      </c>
      <c r="L31" s="320">
        <v>0</v>
      </c>
    </row>
    <row r="32" spans="1:12" s="310" customFormat="1" ht="21">
      <c r="A32" s="299" t="s">
        <v>4</v>
      </c>
      <c r="B32" s="261">
        <v>561000</v>
      </c>
      <c r="C32" s="281">
        <v>1264578.93</v>
      </c>
      <c r="D32" s="318">
        <v>0</v>
      </c>
      <c r="E32" s="305">
        <v>0</v>
      </c>
      <c r="F32" s="291">
        <v>0</v>
      </c>
      <c r="G32" s="292">
        <v>0</v>
      </c>
      <c r="H32" s="293">
        <v>0</v>
      </c>
      <c r="I32" s="319">
        <f>'ใบผ่านรายการ  2'!E17</f>
        <v>246180</v>
      </c>
      <c r="J32" s="308">
        <v>0</v>
      </c>
      <c r="K32" s="288">
        <f>C32+E32+G32+I32-D32-F32-H32-J32</f>
        <v>1510758.93</v>
      </c>
      <c r="L32" s="320">
        <v>0</v>
      </c>
    </row>
    <row r="33" spans="1:12" s="310" customFormat="1" ht="21">
      <c r="A33" s="299" t="s">
        <v>94</v>
      </c>
      <c r="B33" s="261">
        <v>121000</v>
      </c>
      <c r="C33" s="281">
        <v>12048610</v>
      </c>
      <c r="D33" s="318">
        <v>0</v>
      </c>
      <c r="E33" s="305">
        <v>0</v>
      </c>
      <c r="F33" s="306">
        <v>0</v>
      </c>
      <c r="G33" s="292">
        <v>0</v>
      </c>
      <c r="H33" s="293">
        <v>0</v>
      </c>
      <c r="I33" s="319">
        <f>'ใบผ่านรายการ  2'!E31</f>
        <v>0</v>
      </c>
      <c r="J33" s="308">
        <v>0</v>
      </c>
      <c r="K33" s="288">
        <f>C33+E33+G33+I33-D33-F33-H33-J33</f>
        <v>12048610</v>
      </c>
      <c r="L33" s="320">
        <v>0</v>
      </c>
    </row>
    <row r="34" spans="1:12" s="310" customFormat="1" ht="21">
      <c r="A34" s="299" t="s">
        <v>96</v>
      </c>
      <c r="B34" s="261">
        <v>221102</v>
      </c>
      <c r="C34" s="281" t="s">
        <v>384</v>
      </c>
      <c r="D34" s="303">
        <v>1851939</v>
      </c>
      <c r="E34" s="305">
        <v>0</v>
      </c>
      <c r="F34" s="306">
        <v>0</v>
      </c>
      <c r="G34" s="292">
        <v>0</v>
      </c>
      <c r="H34" s="293">
        <v>0</v>
      </c>
      <c r="I34" s="319">
        <v>0</v>
      </c>
      <c r="J34" s="308">
        <v>0</v>
      </c>
      <c r="K34" s="288">
        <v>0</v>
      </c>
      <c r="L34" s="295">
        <f>SUM(D34+F34+H34+J34)-(E34+G34+I34-K34)</f>
        <v>1851939</v>
      </c>
    </row>
    <row r="35" spans="1:12" s="310" customFormat="1" ht="21">
      <c r="A35" s="299" t="s">
        <v>114</v>
      </c>
      <c r="B35" s="261">
        <v>221202</v>
      </c>
      <c r="C35" s="281">
        <v>0</v>
      </c>
      <c r="D35" s="303">
        <v>6860945.88</v>
      </c>
      <c r="E35" s="305">
        <v>0</v>
      </c>
      <c r="F35" s="306">
        <v>0</v>
      </c>
      <c r="G35" s="292">
        <v>0</v>
      </c>
      <c r="H35" s="293">
        <f>'ใบผ่านรายการ 1 '!H15</f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6860945.88</v>
      </c>
    </row>
    <row r="36" spans="1:12" s="310" customFormat="1" ht="21">
      <c r="A36" s="299" t="s">
        <v>145</v>
      </c>
      <c r="B36" s="261">
        <v>123003</v>
      </c>
      <c r="C36" s="281">
        <v>0</v>
      </c>
      <c r="D36" s="303">
        <v>0</v>
      </c>
      <c r="E36" s="305"/>
      <c r="F36" s="306">
        <v>0</v>
      </c>
      <c r="G36" s="292">
        <v>0</v>
      </c>
      <c r="H36" s="293"/>
      <c r="I36" s="319"/>
      <c r="J36" s="308"/>
      <c r="K36" s="288">
        <f>C36+E36+G36+I36-D36-F36-H36-J36</f>
        <v>0</v>
      </c>
      <c r="L36" s="295"/>
    </row>
    <row r="37" spans="1:16" ht="21" hidden="1">
      <c r="A37" s="299" t="s">
        <v>95</v>
      </c>
      <c r="B37" s="261"/>
      <c r="C37" s="281">
        <v>0</v>
      </c>
      <c r="D37" s="303">
        <v>0</v>
      </c>
      <c r="E37" s="302">
        <v>0</v>
      </c>
      <c r="F37" s="291">
        <v>0</v>
      </c>
      <c r="G37" s="292">
        <v>0</v>
      </c>
      <c r="H37" s="293">
        <v>0</v>
      </c>
      <c r="I37" s="319">
        <v>0</v>
      </c>
      <c r="J37" s="294">
        <v>0</v>
      </c>
      <c r="K37" s="288">
        <v>0</v>
      </c>
      <c r="L37" s="295">
        <f>SUM(D37+F37+H37+J37)-(E37+G37+I37-K37)</f>
        <v>0</v>
      </c>
      <c r="M37" s="266" t="s">
        <v>162</v>
      </c>
      <c r="N37" s="296" t="e">
        <f>K11+K13+K14+K16+K18+K20+K22+K24+K26+K32+K27+K28+K31</f>
        <v>#REF!</v>
      </c>
      <c r="O37" s="266">
        <v>27141104.54</v>
      </c>
      <c r="P37" s="296" t="e">
        <f>O37-N37</f>
        <v>#REF!</v>
      </c>
    </row>
    <row r="38" spans="1:14" ht="21">
      <c r="A38" s="299" t="s">
        <v>81</v>
      </c>
      <c r="B38" s="261">
        <v>211000</v>
      </c>
      <c r="C38" s="281">
        <v>0</v>
      </c>
      <c r="D38" s="303">
        <v>5461418.85</v>
      </c>
      <c r="E38" s="302">
        <v>0</v>
      </c>
      <c r="F38" s="291">
        <v>0</v>
      </c>
      <c r="G38" s="292">
        <v>0</v>
      </c>
      <c r="H38" s="293">
        <v>0</v>
      </c>
      <c r="I38" s="319">
        <f>'ใบผ่านรายการ  2'!E28</f>
        <v>0</v>
      </c>
      <c r="J38" s="294">
        <v>0</v>
      </c>
      <c r="K38" s="288">
        <v>0</v>
      </c>
      <c r="L38" s="295">
        <f>SUM(D38+F38+H38+J38)-(E38+G38+I38-K38)</f>
        <v>5461418.85</v>
      </c>
      <c r="M38" s="266" t="s">
        <v>163</v>
      </c>
      <c r="N38" s="296" t="e">
        <f>#REF!+K15+K17+K19+K21+K23+K25+K29+K30</f>
        <v>#REF!</v>
      </c>
    </row>
    <row r="39" spans="1:14" ht="21">
      <c r="A39" s="327" t="s">
        <v>305</v>
      </c>
      <c r="B39" s="328">
        <v>211000</v>
      </c>
      <c r="C39" s="281"/>
      <c r="D39" s="303">
        <v>0</v>
      </c>
      <c r="E39" s="329"/>
      <c r="F39" s="330"/>
      <c r="G39" s="292">
        <v>0</v>
      </c>
      <c r="H39" s="331"/>
      <c r="I39" s="332">
        <f>'ใบผ่านรายการ  2'!E27</f>
        <v>0</v>
      </c>
      <c r="J39" s="333"/>
      <c r="K39" s="334"/>
      <c r="L39" s="295">
        <f>SUM(D39+F39+H39+J39)-(E39+G39+I39-K39)</f>
        <v>0</v>
      </c>
      <c r="M39" s="266"/>
      <c r="N39" s="296"/>
    </row>
    <row r="40" spans="1:14" ht="21">
      <c r="A40" s="327" t="s">
        <v>306</v>
      </c>
      <c r="B40" s="335">
        <v>211000</v>
      </c>
      <c r="C40" s="281">
        <v>0</v>
      </c>
      <c r="D40" s="336">
        <v>0</v>
      </c>
      <c r="E40" s="329">
        <v>0</v>
      </c>
      <c r="F40" s="330">
        <v>0</v>
      </c>
      <c r="G40" s="292">
        <v>0</v>
      </c>
      <c r="H40" s="331">
        <v>0</v>
      </c>
      <c r="I40" s="337">
        <f>'ใบผ่านรายการ  2'!E29</f>
        <v>0</v>
      </c>
      <c r="J40" s="333">
        <v>0</v>
      </c>
      <c r="K40" s="338"/>
      <c r="L40" s="339">
        <f>D40+F40+H40+J40-C40-E40-G40-I40</f>
        <v>0</v>
      </c>
      <c r="M40" s="340">
        <f>SUM(L38:L40)</f>
        <v>5461418.85</v>
      </c>
      <c r="N40" s="266"/>
    </row>
    <row r="41" spans="1:14" ht="21">
      <c r="A41" s="299" t="s">
        <v>7</v>
      </c>
      <c r="B41" s="341">
        <v>310000</v>
      </c>
      <c r="C41" s="281">
        <v>0</v>
      </c>
      <c r="D41" s="281">
        <v>21444057.76</v>
      </c>
      <c r="E41" s="302">
        <v>0</v>
      </c>
      <c r="F41" s="291">
        <v>0</v>
      </c>
      <c r="G41" s="292">
        <v>0</v>
      </c>
      <c r="H41" s="293">
        <f>'ใบผ่านรายการ 1 '!H33</f>
        <v>0</v>
      </c>
      <c r="I41" s="319">
        <f>'ใบผ่านรายการ  2'!E30</f>
        <v>0</v>
      </c>
      <c r="J41" s="294">
        <v>0</v>
      </c>
      <c r="K41" s="342">
        <v>0</v>
      </c>
      <c r="L41" s="295">
        <f>D41+F41+H41+J41-C41-E41-G41-I41-K41</f>
        <v>21444057.76</v>
      </c>
      <c r="M41" s="266"/>
      <c r="N41" s="296" t="e">
        <f>SUM(N37:N38)</f>
        <v>#REF!</v>
      </c>
    </row>
    <row r="42" spans="1:14" ht="21">
      <c r="A42" s="299" t="s">
        <v>40</v>
      </c>
      <c r="B42" s="261">
        <v>320000</v>
      </c>
      <c r="C42" s="281">
        <v>0</v>
      </c>
      <c r="D42" s="303">
        <v>10125619.53</v>
      </c>
      <c r="E42" s="302">
        <v>0</v>
      </c>
      <c r="F42" s="291">
        <v>0</v>
      </c>
      <c r="G42" s="292">
        <v>0</v>
      </c>
      <c r="H42" s="293">
        <v>0</v>
      </c>
      <c r="I42" s="319">
        <v>0</v>
      </c>
      <c r="J42" s="294">
        <v>0</v>
      </c>
      <c r="K42" s="288">
        <v>0</v>
      </c>
      <c r="L42" s="295">
        <f>SUM(D42+F42+H42+K42)-(E42+G42+I42)</f>
        <v>10125619.53</v>
      </c>
      <c r="M42" s="266"/>
      <c r="N42" s="266"/>
    </row>
    <row r="43" spans="1:14" ht="21">
      <c r="A43" s="327" t="s">
        <v>350</v>
      </c>
      <c r="B43" s="343">
        <v>113100</v>
      </c>
      <c r="C43" s="344">
        <v>3500</v>
      </c>
      <c r="D43" s="345">
        <v>0</v>
      </c>
      <c r="E43" s="329">
        <v>0</v>
      </c>
      <c r="F43" s="330" t="e">
        <f>ใบผ่านทั่วไป!#REF!+ใบผ่านทั่วไป!G134</f>
        <v>#REF!</v>
      </c>
      <c r="G43" s="292">
        <v>0</v>
      </c>
      <c r="H43" s="331">
        <f>'ใบผ่านรายการ 1 '!H32+'ใบผ่านรายการ 1 '!H34</f>
        <v>800</v>
      </c>
      <c r="I43" s="337">
        <f>'ใบผ่านรายการ  2'!E24</f>
        <v>473600</v>
      </c>
      <c r="J43" s="333">
        <v>0</v>
      </c>
      <c r="K43" s="346" t="e">
        <f>C43+E43+G43+I43-D43-F43-H43-J43</f>
        <v>#REF!</v>
      </c>
      <c r="L43" s="339">
        <v>0</v>
      </c>
      <c r="M43" s="266"/>
      <c r="N43" s="266"/>
    </row>
    <row r="44" spans="1:14" ht="21">
      <c r="A44" s="299" t="s">
        <v>36</v>
      </c>
      <c r="B44" s="261">
        <v>113700</v>
      </c>
      <c r="C44" s="303">
        <v>0</v>
      </c>
      <c r="D44" s="303">
        <v>0</v>
      </c>
      <c r="E44" s="302">
        <v>0</v>
      </c>
      <c r="F44" s="291">
        <v>0</v>
      </c>
      <c r="G44" s="292">
        <v>0</v>
      </c>
      <c r="H44" s="293">
        <v>0</v>
      </c>
      <c r="I44" s="304">
        <f>'ใบผ่านรายการ  2'!E25</f>
        <v>0</v>
      </c>
      <c r="J44" s="294">
        <v>0</v>
      </c>
      <c r="K44" s="288">
        <f>C44-D44+E44-F44+G44-H44+I44-J44</f>
        <v>0</v>
      </c>
      <c r="L44" s="295">
        <v>0</v>
      </c>
      <c r="M44" s="266"/>
      <c r="N44" s="266"/>
    </row>
    <row r="45" spans="1:14" ht="21">
      <c r="A45" s="299" t="s">
        <v>321</v>
      </c>
      <c r="B45" s="261">
        <v>113800</v>
      </c>
      <c r="C45" s="281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2'!E26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4" ht="21">
      <c r="A46" s="299" t="s">
        <v>227</v>
      </c>
      <c r="B46" s="261">
        <v>113600</v>
      </c>
      <c r="C46" s="281">
        <v>0</v>
      </c>
      <c r="D46" s="303"/>
      <c r="E46" s="302">
        <v>0</v>
      </c>
      <c r="F46" s="291">
        <v>0</v>
      </c>
      <c r="G46" s="292">
        <v>0</v>
      </c>
      <c r="H46" s="293"/>
      <c r="I46" s="304"/>
      <c r="J46" s="294"/>
      <c r="K46" s="288">
        <v>0</v>
      </c>
      <c r="L46" s="295"/>
      <c r="M46" s="266"/>
      <c r="N46" s="266"/>
    </row>
    <row r="47" spans="1:14" ht="21">
      <c r="A47" s="299" t="s">
        <v>300</v>
      </c>
      <c r="B47" s="261">
        <v>113600</v>
      </c>
      <c r="C47" s="281">
        <v>0</v>
      </c>
      <c r="D47" s="303"/>
      <c r="E47" s="302">
        <v>0</v>
      </c>
      <c r="F47" s="291"/>
      <c r="G47" s="292">
        <v>0</v>
      </c>
      <c r="H47" s="293">
        <v>0</v>
      </c>
      <c r="I47" s="304"/>
      <c r="J47" s="294"/>
      <c r="K47" s="288">
        <f>C47+E47+G47+I47-D47-F47-H47-J47</f>
        <v>0</v>
      </c>
      <c r="L47" s="295"/>
      <c r="M47" s="266"/>
      <c r="N47" s="266"/>
    </row>
    <row r="48" spans="1:14" ht="21">
      <c r="A48" s="299" t="s">
        <v>145</v>
      </c>
      <c r="B48" s="261">
        <v>112300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1">
      <c r="A49" s="299" t="s">
        <v>41</v>
      </c>
      <c r="B49" s="261">
        <v>400000</v>
      </c>
      <c r="C49" s="281">
        <v>0</v>
      </c>
      <c r="D49" s="303">
        <v>42439007.01</v>
      </c>
      <c r="E49" s="302">
        <v>0</v>
      </c>
      <c r="F49" s="291">
        <v>0</v>
      </c>
      <c r="G49" s="292">
        <v>0</v>
      </c>
      <c r="H49" s="293">
        <f>'ใบผ่านรายการ 1 '!H13</f>
        <v>1849855.72</v>
      </c>
      <c r="I49" s="304">
        <f>'ใบผ่านรายการ  2'!E48</f>
        <v>0</v>
      </c>
      <c r="J49" s="294">
        <f>'ใบผ่านรายการ  2'!F48</f>
        <v>0</v>
      </c>
      <c r="K49" s="288">
        <v>0</v>
      </c>
      <c r="L49" s="295">
        <f>D49+F49+H49+J49-C49-E49-G49-I49</f>
        <v>44288862.73</v>
      </c>
      <c r="M49" s="266"/>
      <c r="N49" s="266"/>
    </row>
    <row r="50" spans="1:12" s="351" customFormat="1" ht="21">
      <c r="A50" s="299" t="s">
        <v>42</v>
      </c>
      <c r="B50" s="261">
        <v>215000</v>
      </c>
      <c r="C50" s="347">
        <v>0</v>
      </c>
      <c r="D50" s="348">
        <v>279350.05</v>
      </c>
      <c r="E50" s="302" t="e">
        <f>ใบผ่านทั่วไป!#REF!</f>
        <v>#REF!</v>
      </c>
      <c r="F50" s="291">
        <v>0</v>
      </c>
      <c r="G50" s="292">
        <v>0</v>
      </c>
      <c r="H50" s="293">
        <f>'ใบผ่านรายการ 1 '!I20</f>
        <v>3975</v>
      </c>
      <c r="I50" s="349">
        <f>'ใบผ่านรายการ  2'!G46</f>
        <v>57307.81</v>
      </c>
      <c r="J50" s="350">
        <f>'ใบผ่านรายการ  2'!H46</f>
        <v>23797.239999999998</v>
      </c>
      <c r="K50" s="288">
        <v>0</v>
      </c>
      <c r="L50" s="295" t="e">
        <f>D50+F50+H50+J50-C50-E50-G50-I50</f>
        <v>#REF!</v>
      </c>
    </row>
    <row r="51" spans="1:12" s="351" customFormat="1" ht="21">
      <c r="A51" s="327" t="s">
        <v>303</v>
      </c>
      <c r="B51" s="352">
        <v>140300</v>
      </c>
      <c r="C51" s="353">
        <v>50</v>
      </c>
      <c r="D51" s="348">
        <v>0</v>
      </c>
      <c r="E51" s="302">
        <v>0</v>
      </c>
      <c r="F51" s="291">
        <v>0</v>
      </c>
      <c r="G51" s="292">
        <v>0</v>
      </c>
      <c r="H51" s="293">
        <v>0</v>
      </c>
      <c r="I51" s="349">
        <v>0</v>
      </c>
      <c r="J51" s="350">
        <v>0</v>
      </c>
      <c r="K51" s="354">
        <f>C51+E51+G51+I51-D51-F51-H51-J51</f>
        <v>50</v>
      </c>
      <c r="L51" s="295">
        <v>0</v>
      </c>
    </row>
    <row r="52" spans="1:12" s="351" customFormat="1" ht="21">
      <c r="A52" s="355" t="s">
        <v>304</v>
      </c>
      <c r="B52" s="356">
        <v>240100</v>
      </c>
      <c r="C52" s="357"/>
      <c r="D52" s="358">
        <v>50</v>
      </c>
      <c r="E52" s="359">
        <v>0</v>
      </c>
      <c r="F52" s="291">
        <v>0</v>
      </c>
      <c r="G52" s="292">
        <v>0</v>
      </c>
      <c r="H52" s="360"/>
      <c r="I52" s="361"/>
      <c r="J52" s="362"/>
      <c r="K52" s="363"/>
      <c r="L52" s="364">
        <f>D52+F52+H52+J52-C52-E52-G52-I52</f>
        <v>50</v>
      </c>
    </row>
    <row r="53" spans="1:14" ht="21.75" thickBot="1">
      <c r="A53" s="365"/>
      <c r="B53" s="91"/>
      <c r="C53" s="366">
        <f>SUM(C3:C52)</f>
        <v>88462388.08</v>
      </c>
      <c r="D53" s="366">
        <f>SUM(D34:D52)</f>
        <v>88462388.08</v>
      </c>
      <c r="E53" s="366" t="e">
        <f aca="true" t="shared" si="1" ref="E53:L53">SUM(E3:E52)</f>
        <v>#REF!</v>
      </c>
      <c r="F53" s="366" t="e">
        <f t="shared" si="1"/>
        <v>#REF!</v>
      </c>
      <c r="G53" s="366">
        <f t="shared" si="1"/>
        <v>1868105.72</v>
      </c>
      <c r="H53" s="366">
        <f t="shared" si="1"/>
        <v>1868105.72</v>
      </c>
      <c r="I53" s="366">
        <f t="shared" si="1"/>
        <v>2956726.19</v>
      </c>
      <c r="J53" s="366">
        <f t="shared" si="1"/>
        <v>2956726.1900000004</v>
      </c>
      <c r="K53" s="366" t="e">
        <f t="shared" si="1"/>
        <v>#REF!</v>
      </c>
      <c r="L53" s="366" t="e">
        <f t="shared" si="1"/>
        <v>#REF!</v>
      </c>
      <c r="M53" s="266"/>
      <c r="N53" s="266"/>
    </row>
    <row r="54" spans="1:11" ht="21.75" thickTop="1">
      <c r="A54" s="367"/>
      <c r="B54" s="368"/>
      <c r="C54" s="369">
        <f>C53-D53</f>
        <v>0</v>
      </c>
      <c r="D54" s="370"/>
      <c r="E54" s="371" t="e">
        <f>E53-F53</f>
        <v>#REF!</v>
      </c>
      <c r="G54" s="373">
        <f>G53-H53</f>
        <v>0</v>
      </c>
      <c r="I54" s="375">
        <f>I53-J53</f>
        <v>0</v>
      </c>
      <c r="K54" s="377" t="e">
        <f>K53-L53</f>
        <v>#REF!</v>
      </c>
    </row>
    <row r="55" spans="1:5" ht="21">
      <c r="A55" s="379"/>
      <c r="B55" s="379"/>
      <c r="C55" s="380"/>
      <c r="D55" s="381"/>
      <c r="E55" s="382"/>
    </row>
    <row r="56" spans="2:3" ht="21">
      <c r="B56" s="849"/>
      <c r="C56" s="849"/>
    </row>
    <row r="57" ht="21">
      <c r="B57" s="385"/>
    </row>
    <row r="58" spans="1:5" ht="21">
      <c r="A58" s="352"/>
      <c r="B58" s="850"/>
      <c r="C58" s="850"/>
      <c r="D58" s="387"/>
      <c r="E58" s="388"/>
    </row>
    <row r="59" spans="2:3" ht="21">
      <c r="B59" s="850"/>
      <c r="C59" s="850"/>
    </row>
  </sheetData>
  <sheetProtection/>
  <mergeCells count="4">
    <mergeCell ref="A1:L1"/>
    <mergeCell ref="B56:C56"/>
    <mergeCell ref="B58:C58"/>
    <mergeCell ref="B59:C5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I7" sqref="I7"/>
    </sheetView>
  </sheetViews>
  <sheetFormatPr defaultColWidth="9.140625" defaultRowHeight="21.75"/>
  <sheetData>
    <row r="1" spans="1:14" ht="21.75">
      <c r="A1" s="655">
        <v>1110</v>
      </c>
      <c r="B1" s="655"/>
      <c r="C1" s="655">
        <v>1133</v>
      </c>
      <c r="D1" s="655"/>
      <c r="E1" s="655">
        <v>1156</v>
      </c>
      <c r="F1" s="655"/>
      <c r="G1" s="655">
        <v>1179</v>
      </c>
      <c r="H1" s="655"/>
      <c r="I1" s="655">
        <v>1202</v>
      </c>
      <c r="J1" s="655"/>
      <c r="K1" s="655">
        <v>1225</v>
      </c>
      <c r="L1" s="655"/>
      <c r="M1" s="655">
        <v>1248</v>
      </c>
      <c r="N1" s="655"/>
    </row>
    <row r="2" spans="1:14" ht="21.75">
      <c r="A2" s="655">
        <v>1111</v>
      </c>
      <c r="B2" s="655"/>
      <c r="C2" s="655">
        <v>1134</v>
      </c>
      <c r="D2" s="655"/>
      <c r="E2" s="655">
        <v>1157</v>
      </c>
      <c r="F2" s="655"/>
      <c r="G2" s="655">
        <v>1180</v>
      </c>
      <c r="H2" s="655"/>
      <c r="I2" s="655">
        <v>1203</v>
      </c>
      <c r="J2" s="655"/>
      <c r="K2" s="655">
        <v>1226</v>
      </c>
      <c r="L2" s="655"/>
      <c r="M2" s="655">
        <v>1249</v>
      </c>
      <c r="N2" s="655"/>
    </row>
    <row r="3" spans="1:14" ht="21.75">
      <c r="A3" s="655">
        <v>1112</v>
      </c>
      <c r="B3" s="655"/>
      <c r="C3" s="655">
        <v>1135</v>
      </c>
      <c r="D3" s="655"/>
      <c r="E3" s="655">
        <v>1158</v>
      </c>
      <c r="F3" s="655"/>
      <c r="G3" s="655">
        <v>1181</v>
      </c>
      <c r="H3" s="655"/>
      <c r="I3" s="655">
        <v>1204</v>
      </c>
      <c r="J3" s="655"/>
      <c r="K3" s="655">
        <v>1227</v>
      </c>
      <c r="L3" s="655"/>
      <c r="M3" s="655">
        <v>1250</v>
      </c>
      <c r="N3" s="655"/>
    </row>
    <row r="4" spans="1:14" ht="21.75">
      <c r="A4" s="655">
        <v>1113</v>
      </c>
      <c r="B4" s="655"/>
      <c r="C4" s="655">
        <v>1136</v>
      </c>
      <c r="D4" s="655"/>
      <c r="E4" s="655">
        <v>1159</v>
      </c>
      <c r="F4" s="655"/>
      <c r="G4" s="655">
        <v>1182</v>
      </c>
      <c r="H4" s="655"/>
      <c r="I4" s="655">
        <v>1205</v>
      </c>
      <c r="J4" s="655"/>
      <c r="K4" s="655">
        <v>1228</v>
      </c>
      <c r="L4" s="655"/>
      <c r="M4" s="655">
        <v>1251</v>
      </c>
      <c r="N4" s="655"/>
    </row>
    <row r="5" spans="1:14" ht="21.75">
      <c r="A5" s="655">
        <v>1114</v>
      </c>
      <c r="B5" s="655"/>
      <c r="C5" s="655">
        <v>1137</v>
      </c>
      <c r="D5" s="655"/>
      <c r="E5" s="655">
        <v>1160</v>
      </c>
      <c r="F5" s="655"/>
      <c r="G5" s="655">
        <v>1183</v>
      </c>
      <c r="H5" s="655"/>
      <c r="I5" s="655">
        <v>1206</v>
      </c>
      <c r="J5" s="655"/>
      <c r="K5" s="655">
        <v>1229</v>
      </c>
      <c r="L5" s="655"/>
      <c r="M5" s="655">
        <v>1252</v>
      </c>
      <c r="N5" s="655"/>
    </row>
    <row r="6" spans="1:14" ht="21.75">
      <c r="A6" s="655">
        <v>1115</v>
      </c>
      <c r="B6" s="655"/>
      <c r="C6" s="655">
        <v>1138</v>
      </c>
      <c r="D6" s="655"/>
      <c r="E6" s="655">
        <v>1161</v>
      </c>
      <c r="F6" s="655"/>
      <c r="G6" s="655">
        <v>1184</v>
      </c>
      <c r="H6" s="655"/>
      <c r="I6" s="655">
        <v>1207</v>
      </c>
      <c r="J6" s="655"/>
      <c r="K6" s="655">
        <v>1230</v>
      </c>
      <c r="L6" s="655"/>
      <c r="M6" s="655">
        <v>1253</v>
      </c>
      <c r="N6" s="655"/>
    </row>
    <row r="7" spans="1:14" ht="21.75">
      <c r="A7" s="655">
        <v>1116</v>
      </c>
      <c r="B7" s="655"/>
      <c r="C7" s="655">
        <v>1139</v>
      </c>
      <c r="D7" s="655"/>
      <c r="E7" s="655">
        <v>1162</v>
      </c>
      <c r="F7" s="655"/>
      <c r="G7" s="655">
        <v>1185</v>
      </c>
      <c r="H7" s="655"/>
      <c r="I7" s="655">
        <v>1208</v>
      </c>
      <c r="J7" s="655"/>
      <c r="K7" s="655">
        <v>1231</v>
      </c>
      <c r="L7" s="655"/>
      <c r="M7" s="655">
        <v>1254</v>
      </c>
      <c r="N7" s="655"/>
    </row>
    <row r="8" spans="1:14" ht="21.75">
      <c r="A8" s="655">
        <v>1117</v>
      </c>
      <c r="B8" s="655"/>
      <c r="C8" s="655">
        <v>1140</v>
      </c>
      <c r="D8" s="655"/>
      <c r="E8" s="655">
        <v>1163</v>
      </c>
      <c r="F8" s="655"/>
      <c r="G8" s="655">
        <v>1186</v>
      </c>
      <c r="H8" s="655"/>
      <c r="I8" s="655">
        <v>1209</v>
      </c>
      <c r="J8" s="655"/>
      <c r="K8" s="655">
        <v>1232</v>
      </c>
      <c r="L8" s="655"/>
      <c r="M8" s="655">
        <v>1255</v>
      </c>
      <c r="N8" s="655"/>
    </row>
    <row r="9" spans="1:14" ht="21.75">
      <c r="A9" s="655">
        <v>1118</v>
      </c>
      <c r="B9" s="655"/>
      <c r="C9" s="655">
        <v>1141</v>
      </c>
      <c r="D9" s="655"/>
      <c r="E9" s="655">
        <v>1164</v>
      </c>
      <c r="F9" s="655"/>
      <c r="G9" s="655">
        <v>1187</v>
      </c>
      <c r="H9" s="655"/>
      <c r="I9" s="655">
        <v>1210</v>
      </c>
      <c r="J9" s="655"/>
      <c r="K9" s="655">
        <v>1233</v>
      </c>
      <c r="L9" s="655"/>
      <c r="M9" s="655">
        <v>1256</v>
      </c>
      <c r="N9" s="655"/>
    </row>
    <row r="10" spans="1:14" ht="21.75">
      <c r="A10" s="655">
        <v>1119</v>
      </c>
      <c r="B10" s="655"/>
      <c r="C10" s="655">
        <v>1142</v>
      </c>
      <c r="D10" s="655"/>
      <c r="E10" s="655">
        <v>1165</v>
      </c>
      <c r="F10" s="655"/>
      <c r="G10" s="655">
        <v>1188</v>
      </c>
      <c r="H10" s="655"/>
      <c r="I10" s="655">
        <v>1211</v>
      </c>
      <c r="J10" s="655"/>
      <c r="K10" s="655">
        <v>1234</v>
      </c>
      <c r="L10" s="655"/>
      <c r="M10" s="655">
        <v>1257</v>
      </c>
      <c r="N10" s="655"/>
    </row>
    <row r="11" spans="1:14" ht="21.75">
      <c r="A11" s="655">
        <v>1120</v>
      </c>
      <c r="B11" s="655"/>
      <c r="C11" s="655">
        <v>1143</v>
      </c>
      <c r="D11" s="655"/>
      <c r="E11" s="655">
        <v>1166</v>
      </c>
      <c r="F11" s="655"/>
      <c r="G11" s="655">
        <v>1189</v>
      </c>
      <c r="H11" s="655"/>
      <c r="I11" s="655">
        <v>1212</v>
      </c>
      <c r="J11" s="655"/>
      <c r="K11" s="655">
        <v>1235</v>
      </c>
      <c r="L11" s="655"/>
      <c r="M11" s="655">
        <v>1258</v>
      </c>
      <c r="N11" s="655"/>
    </row>
    <row r="12" spans="1:14" ht="21.75">
      <c r="A12" s="655">
        <v>1121</v>
      </c>
      <c r="B12" s="655"/>
      <c r="C12" s="655">
        <v>1144</v>
      </c>
      <c r="D12" s="655"/>
      <c r="E12" s="655">
        <v>1167</v>
      </c>
      <c r="F12" s="655"/>
      <c r="G12" s="655">
        <v>1190</v>
      </c>
      <c r="H12" s="655"/>
      <c r="I12" s="655">
        <v>1213</v>
      </c>
      <c r="J12" s="655"/>
      <c r="K12" s="655">
        <v>1236</v>
      </c>
      <c r="L12" s="655"/>
      <c r="M12" s="655">
        <v>1259</v>
      </c>
      <c r="N12" s="655"/>
    </row>
    <row r="13" spans="1:14" ht="21.75">
      <c r="A13" s="655">
        <v>1122</v>
      </c>
      <c r="B13" s="655"/>
      <c r="C13" s="655">
        <v>1145</v>
      </c>
      <c r="D13" s="655"/>
      <c r="E13" s="655">
        <v>1168</v>
      </c>
      <c r="F13" s="655"/>
      <c r="G13" s="655">
        <v>1191</v>
      </c>
      <c r="H13" s="655"/>
      <c r="I13" s="655">
        <v>1214</v>
      </c>
      <c r="J13" s="655"/>
      <c r="K13" s="655">
        <v>1237</v>
      </c>
      <c r="L13" s="655"/>
      <c r="M13" s="655">
        <v>1260</v>
      </c>
      <c r="N13" s="655"/>
    </row>
    <row r="14" spans="1:14" ht="21.75">
      <c r="A14" s="655">
        <v>1123</v>
      </c>
      <c r="B14" s="655"/>
      <c r="C14" s="655">
        <v>1146</v>
      </c>
      <c r="D14" s="655"/>
      <c r="E14" s="655">
        <v>1169</v>
      </c>
      <c r="F14" s="655"/>
      <c r="G14" s="655">
        <v>1192</v>
      </c>
      <c r="H14" s="655"/>
      <c r="I14" s="655">
        <v>1215</v>
      </c>
      <c r="J14" s="655"/>
      <c r="K14" s="655">
        <v>1238</v>
      </c>
      <c r="L14" s="655"/>
      <c r="M14" s="655">
        <v>1261</v>
      </c>
      <c r="N14" s="655"/>
    </row>
    <row r="15" spans="1:14" ht="21.75">
      <c r="A15" s="655">
        <v>1124</v>
      </c>
      <c r="B15" s="655"/>
      <c r="C15" s="655">
        <v>1147</v>
      </c>
      <c r="D15" s="655"/>
      <c r="E15" s="655">
        <v>1170</v>
      </c>
      <c r="F15" s="655"/>
      <c r="G15" s="655">
        <v>1193</v>
      </c>
      <c r="H15" s="655"/>
      <c r="I15" s="655">
        <v>1216</v>
      </c>
      <c r="J15" s="655"/>
      <c r="K15" s="655">
        <v>1239</v>
      </c>
      <c r="L15" s="655"/>
      <c r="M15" s="655">
        <v>1262</v>
      </c>
      <c r="N15" s="655"/>
    </row>
    <row r="16" spans="1:14" ht="21.75">
      <c r="A16" s="655">
        <v>1125</v>
      </c>
      <c r="B16" s="655"/>
      <c r="C16" s="655">
        <v>1148</v>
      </c>
      <c r="D16" s="655"/>
      <c r="E16" s="655">
        <v>1171</v>
      </c>
      <c r="F16" s="655"/>
      <c r="G16" s="655">
        <v>1194</v>
      </c>
      <c r="H16" s="655"/>
      <c r="I16" s="655">
        <v>1217</v>
      </c>
      <c r="J16" s="655"/>
      <c r="K16" s="655">
        <v>1240</v>
      </c>
      <c r="L16" s="655"/>
      <c r="M16" s="655">
        <v>1263</v>
      </c>
      <c r="N16" s="655"/>
    </row>
    <row r="17" spans="1:14" ht="21.75">
      <c r="A17" s="655">
        <v>1126</v>
      </c>
      <c r="B17" s="655"/>
      <c r="C17" s="655">
        <v>1149</v>
      </c>
      <c r="D17" s="655"/>
      <c r="E17" s="655">
        <v>1172</v>
      </c>
      <c r="F17" s="655"/>
      <c r="G17" s="655">
        <v>1195</v>
      </c>
      <c r="H17" s="655"/>
      <c r="I17" s="655">
        <v>1218</v>
      </c>
      <c r="J17" s="655"/>
      <c r="K17" s="655">
        <v>1241</v>
      </c>
      <c r="L17" s="655"/>
      <c r="M17" s="655">
        <v>1264</v>
      </c>
      <c r="N17" s="655"/>
    </row>
    <row r="18" spans="1:14" ht="21.75">
      <c r="A18" s="655">
        <v>1127</v>
      </c>
      <c r="B18" s="655"/>
      <c r="C18" s="655">
        <v>1150</v>
      </c>
      <c r="D18" s="655"/>
      <c r="E18" s="655">
        <v>1173</v>
      </c>
      <c r="F18" s="655"/>
      <c r="G18" s="655">
        <v>1196</v>
      </c>
      <c r="H18" s="655"/>
      <c r="I18" s="655">
        <v>1219</v>
      </c>
      <c r="J18" s="655"/>
      <c r="K18" s="655">
        <v>1242</v>
      </c>
      <c r="L18" s="655"/>
      <c r="M18" s="655">
        <v>1265</v>
      </c>
      <c r="N18" s="655"/>
    </row>
    <row r="19" spans="1:14" ht="21.75">
      <c r="A19" s="655">
        <v>1128</v>
      </c>
      <c r="B19" s="655"/>
      <c r="C19" s="655">
        <v>1151</v>
      </c>
      <c r="D19" s="655"/>
      <c r="E19" s="655">
        <v>1174</v>
      </c>
      <c r="F19" s="655"/>
      <c r="G19" s="655">
        <v>1197</v>
      </c>
      <c r="H19" s="655"/>
      <c r="I19" s="655">
        <v>1220</v>
      </c>
      <c r="J19" s="655"/>
      <c r="K19" s="655">
        <v>1243</v>
      </c>
      <c r="L19" s="655"/>
      <c r="M19" s="655">
        <v>1266</v>
      </c>
      <c r="N19" s="655"/>
    </row>
    <row r="20" spans="1:14" ht="21.75">
      <c r="A20" s="655">
        <v>1129</v>
      </c>
      <c r="B20" s="655"/>
      <c r="C20" s="655">
        <v>1152</v>
      </c>
      <c r="D20" s="655"/>
      <c r="E20" s="655">
        <v>1175</v>
      </c>
      <c r="F20" s="655"/>
      <c r="G20" s="655">
        <v>1198</v>
      </c>
      <c r="H20" s="655"/>
      <c r="I20" s="655">
        <v>1221</v>
      </c>
      <c r="J20" s="655"/>
      <c r="K20" s="655">
        <v>1244</v>
      </c>
      <c r="L20" s="655"/>
      <c r="M20" s="655">
        <v>1267</v>
      </c>
      <c r="N20" s="655"/>
    </row>
    <row r="21" spans="1:14" ht="21.75">
      <c r="A21" s="655">
        <v>1130</v>
      </c>
      <c r="B21" s="655"/>
      <c r="C21" s="655">
        <v>1153</v>
      </c>
      <c r="D21" s="655"/>
      <c r="E21" s="655">
        <v>1176</v>
      </c>
      <c r="F21" s="655"/>
      <c r="G21" s="655">
        <v>1199</v>
      </c>
      <c r="H21" s="655"/>
      <c r="I21" s="655">
        <v>1222</v>
      </c>
      <c r="J21" s="655"/>
      <c r="K21" s="655">
        <v>1245</v>
      </c>
      <c r="L21" s="655"/>
      <c r="M21" s="655">
        <v>1268</v>
      </c>
      <c r="N21" s="655"/>
    </row>
    <row r="22" spans="1:14" ht="21.75">
      <c r="A22" s="655">
        <v>1131</v>
      </c>
      <c r="B22" s="655"/>
      <c r="C22" s="655">
        <v>1154</v>
      </c>
      <c r="D22" s="655"/>
      <c r="E22" s="655">
        <v>1177</v>
      </c>
      <c r="F22" s="655"/>
      <c r="G22" s="655">
        <v>1200</v>
      </c>
      <c r="H22" s="655"/>
      <c r="I22" s="655">
        <v>1223</v>
      </c>
      <c r="J22" s="655"/>
      <c r="K22" s="655">
        <v>1246</v>
      </c>
      <c r="L22" s="655"/>
      <c r="M22" s="655">
        <v>1269</v>
      </c>
      <c r="N22" s="655"/>
    </row>
    <row r="23" spans="1:14" ht="21.75">
      <c r="A23" s="655">
        <v>1132</v>
      </c>
      <c r="B23" s="655"/>
      <c r="C23" s="655">
        <v>1155</v>
      </c>
      <c r="D23" s="655"/>
      <c r="E23" s="655">
        <v>1178</v>
      </c>
      <c r="F23" s="655"/>
      <c r="G23" s="655">
        <v>1201</v>
      </c>
      <c r="H23" s="655"/>
      <c r="I23" s="655">
        <v>1224</v>
      </c>
      <c r="J23" s="655"/>
      <c r="K23" s="655">
        <v>1247</v>
      </c>
      <c r="L23" s="655"/>
      <c r="M23" s="655">
        <v>1270</v>
      </c>
      <c r="N23" s="655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54"/>
  <sheetViews>
    <sheetView view="pageBreakPreview" zoomScaleSheetLayoutView="100" zoomScalePageLayoutView="0" workbookViewId="0" topLeftCell="A46">
      <selection activeCell="A51" sqref="A51:B51"/>
    </sheetView>
  </sheetViews>
  <sheetFormatPr defaultColWidth="9.140625" defaultRowHeight="21.75"/>
  <cols>
    <col min="1" max="1" width="24.7109375" style="1" customWidth="1"/>
    <col min="2" max="2" width="22.57421875" style="1" customWidth="1"/>
    <col min="3" max="3" width="14.28125" style="1" customWidth="1"/>
    <col min="4" max="4" width="19.7109375" style="138" customWidth="1"/>
    <col min="5" max="6" width="18.57421875" style="2" customWidth="1"/>
    <col min="7" max="7" width="16.140625" style="1" customWidth="1"/>
    <col min="8" max="8" width="19.8515625" style="1" customWidth="1"/>
    <col min="9" max="9" width="14.00390625" style="1" customWidth="1"/>
    <col min="10" max="10" width="9.140625" style="1" customWidth="1"/>
    <col min="11" max="11" width="13.28125" style="1" customWidth="1"/>
    <col min="12" max="16384" width="9.140625" style="1" customWidth="1"/>
  </cols>
  <sheetData>
    <row r="1" ht="18.75" customHeight="1">
      <c r="F1" s="173" t="s">
        <v>701</v>
      </c>
    </row>
    <row r="2" spans="1:9" ht="18.75" customHeight="1">
      <c r="A2" s="704"/>
      <c r="B2" s="726"/>
      <c r="C2" s="726"/>
      <c r="D2" s="704" t="s">
        <v>702</v>
      </c>
      <c r="E2" s="704"/>
      <c r="F2" s="704"/>
      <c r="G2" s="174"/>
      <c r="H2" s="174"/>
      <c r="I2" s="174"/>
    </row>
    <row r="3" spans="1:6" ht="18.75" customHeight="1">
      <c r="A3" s="702" t="s">
        <v>122</v>
      </c>
      <c r="B3" s="703"/>
      <c r="C3" s="703"/>
      <c r="D3" s="703"/>
      <c r="E3" s="703"/>
      <c r="F3" s="703"/>
    </row>
    <row r="4" spans="1:3" ht="18.75" customHeight="1" thickBot="1">
      <c r="A4" s="174" t="s">
        <v>364</v>
      </c>
      <c r="B4" s="174"/>
      <c r="C4" s="174"/>
    </row>
    <row r="5" spans="1:6" ht="18.75" customHeight="1" thickBot="1">
      <c r="A5" s="727" t="s">
        <v>52</v>
      </c>
      <c r="B5" s="728"/>
      <c r="C5" s="728"/>
      <c r="D5" s="175" t="s">
        <v>47</v>
      </c>
      <c r="E5" s="176" t="s">
        <v>9</v>
      </c>
      <c r="F5" s="176" t="s">
        <v>10</v>
      </c>
    </row>
    <row r="6" spans="1:8" ht="18.75" customHeight="1">
      <c r="A6" s="177" t="s">
        <v>45</v>
      </c>
      <c r="B6" s="178"/>
      <c r="C6" s="178"/>
      <c r="D6" s="179">
        <v>511000</v>
      </c>
      <c r="E6" s="180">
        <v>66909.75</v>
      </c>
      <c r="F6" s="181"/>
      <c r="H6" s="171">
        <f>E6+E7</f>
        <v>74873</v>
      </c>
    </row>
    <row r="7" spans="1:8" ht="18.75" customHeight="1">
      <c r="A7" s="177" t="s">
        <v>45</v>
      </c>
      <c r="B7" s="178" t="s">
        <v>472</v>
      </c>
      <c r="C7" s="178"/>
      <c r="D7" s="620">
        <v>511000</v>
      </c>
      <c r="E7" s="183">
        <v>7963.25</v>
      </c>
      <c r="F7" s="181"/>
      <c r="H7" s="171"/>
    </row>
    <row r="8" spans="1:9" ht="18.75" customHeight="1">
      <c r="A8" s="177" t="s">
        <v>181</v>
      </c>
      <c r="B8" s="178"/>
      <c r="C8" s="178"/>
      <c r="D8" s="182">
        <v>521000</v>
      </c>
      <c r="E8" s="183">
        <v>218720</v>
      </c>
      <c r="F8" s="181"/>
      <c r="H8" s="171"/>
      <c r="I8" s="184"/>
    </row>
    <row r="9" spans="1:8" ht="18.75" customHeight="1">
      <c r="A9" s="185" t="s">
        <v>182</v>
      </c>
      <c r="B9" s="186"/>
      <c r="C9" s="186"/>
      <c r="D9" s="187">
        <v>522000</v>
      </c>
      <c r="E9" s="183">
        <v>1048366</v>
      </c>
      <c r="F9" s="188"/>
      <c r="H9" s="171"/>
    </row>
    <row r="10" spans="1:8" ht="18.75" customHeight="1">
      <c r="A10" s="185" t="s">
        <v>183</v>
      </c>
      <c r="B10" s="186"/>
      <c r="C10" s="186"/>
      <c r="D10" s="187">
        <v>522000</v>
      </c>
      <c r="E10" s="183">
        <v>68950</v>
      </c>
      <c r="F10" s="188"/>
      <c r="H10" s="171">
        <f>E9+E10+E11</f>
        <v>1485261</v>
      </c>
    </row>
    <row r="11" spans="1:8" ht="18.75" customHeight="1">
      <c r="A11" s="185" t="s">
        <v>184</v>
      </c>
      <c r="B11" s="186"/>
      <c r="C11" s="186"/>
      <c r="D11" s="187">
        <v>522000</v>
      </c>
      <c r="E11" s="183">
        <v>367945</v>
      </c>
      <c r="F11" s="188"/>
      <c r="H11" s="171"/>
    </row>
    <row r="12" spans="1:8" ht="18.75" customHeight="1">
      <c r="A12" s="185" t="s">
        <v>0</v>
      </c>
      <c r="B12" s="186"/>
      <c r="C12" s="186"/>
      <c r="D12" s="187">
        <v>531000</v>
      </c>
      <c r="E12" s="183">
        <v>26600</v>
      </c>
      <c r="F12" s="188"/>
      <c r="H12" s="171">
        <f>E12+E13</f>
        <v>35600</v>
      </c>
    </row>
    <row r="13" spans="1:8" ht="18.75" customHeight="1">
      <c r="A13" s="185" t="s">
        <v>0</v>
      </c>
      <c r="B13" s="186" t="s">
        <v>472</v>
      </c>
      <c r="C13" s="186"/>
      <c r="D13" s="187">
        <v>531000</v>
      </c>
      <c r="E13" s="183">
        <v>9000</v>
      </c>
      <c r="F13" s="188"/>
      <c r="H13" s="171"/>
    </row>
    <row r="14" spans="1:8" ht="18.75" customHeight="1">
      <c r="A14" s="185" t="s">
        <v>1</v>
      </c>
      <c r="B14" s="186"/>
      <c r="C14" s="186"/>
      <c r="D14" s="187">
        <v>532000</v>
      </c>
      <c r="E14" s="183">
        <v>185071.11</v>
      </c>
      <c r="F14" s="188">
        <v>0</v>
      </c>
      <c r="H14" s="171"/>
    </row>
    <row r="15" spans="1:8" ht="18.75" customHeight="1">
      <c r="A15" s="185" t="s">
        <v>2</v>
      </c>
      <c r="B15" s="186"/>
      <c r="C15" s="186"/>
      <c r="D15" s="187">
        <v>533000</v>
      </c>
      <c r="E15" s="183">
        <v>34591.76</v>
      </c>
      <c r="F15" s="188"/>
      <c r="H15" s="171">
        <f>SUM(E15:E15)</f>
        <v>34591.76</v>
      </c>
    </row>
    <row r="16" spans="1:8" ht="18.75" customHeight="1">
      <c r="A16" s="185" t="s">
        <v>3</v>
      </c>
      <c r="B16" s="186"/>
      <c r="C16" s="186"/>
      <c r="D16" s="187">
        <v>534000</v>
      </c>
      <c r="E16" s="183">
        <v>51621.51</v>
      </c>
      <c r="F16" s="188"/>
      <c r="H16" s="171"/>
    </row>
    <row r="17" spans="1:8" ht="18.75" customHeight="1">
      <c r="A17" s="185" t="s">
        <v>4</v>
      </c>
      <c r="B17" s="186"/>
      <c r="C17" s="186"/>
      <c r="D17" s="187">
        <v>561000</v>
      </c>
      <c r="E17" s="183">
        <v>246180</v>
      </c>
      <c r="F17" s="188"/>
      <c r="H17" s="171">
        <f>SUM(E6:E17)</f>
        <v>2331918.38</v>
      </c>
    </row>
    <row r="18" spans="1:8" ht="18.75" customHeight="1">
      <c r="A18" s="185" t="s">
        <v>80</v>
      </c>
      <c r="B18" s="186"/>
      <c r="C18" s="186"/>
      <c r="D18" s="187">
        <v>541000</v>
      </c>
      <c r="E18" s="534">
        <v>0</v>
      </c>
      <c r="F18" s="535"/>
      <c r="H18" s="171" t="s">
        <v>471</v>
      </c>
    </row>
    <row r="19" spans="1:8" ht="18.75" customHeight="1">
      <c r="A19" s="185" t="s">
        <v>5</v>
      </c>
      <c r="B19" s="186"/>
      <c r="C19" s="186"/>
      <c r="D19" s="187">
        <v>542000</v>
      </c>
      <c r="E19" s="534">
        <v>93900</v>
      </c>
      <c r="F19" s="535"/>
      <c r="G19" s="184"/>
      <c r="H19" s="171">
        <f>SUM(E19:E21)</f>
        <v>93900</v>
      </c>
    </row>
    <row r="20" spans="1:8" ht="18.75" customHeight="1">
      <c r="A20" s="189" t="s">
        <v>296</v>
      </c>
      <c r="B20" s="186"/>
      <c r="C20" s="186"/>
      <c r="D20" s="187">
        <v>542000</v>
      </c>
      <c r="E20" s="534">
        <v>0</v>
      </c>
      <c r="F20" s="535"/>
      <c r="H20" s="171"/>
    </row>
    <row r="21" spans="1:8" ht="18.75" customHeight="1">
      <c r="A21" s="189" t="s">
        <v>225</v>
      </c>
      <c r="B21" s="190"/>
      <c r="C21" s="190"/>
      <c r="D21" s="187">
        <v>542000</v>
      </c>
      <c r="E21" s="534">
        <v>0</v>
      </c>
      <c r="F21" s="535"/>
      <c r="H21" s="171"/>
    </row>
    <row r="22" spans="1:6" ht="18.75" customHeight="1">
      <c r="A22" s="185" t="s">
        <v>39</v>
      </c>
      <c r="B22" s="186"/>
      <c r="C22" s="186"/>
      <c r="D22" s="191">
        <v>551000</v>
      </c>
      <c r="E22" s="534">
        <v>0</v>
      </c>
      <c r="F22" s="535"/>
    </row>
    <row r="23" spans="1:6" ht="18.75" customHeight="1">
      <c r="A23" s="185" t="s">
        <v>145</v>
      </c>
      <c r="B23" s="186"/>
      <c r="C23" s="186"/>
      <c r="D23" s="192">
        <v>123003</v>
      </c>
      <c r="E23" s="534">
        <v>0</v>
      </c>
      <c r="F23" s="535"/>
    </row>
    <row r="24" spans="1:6" ht="18.75" customHeight="1">
      <c r="A24" s="185" t="s">
        <v>350</v>
      </c>
      <c r="B24" s="186"/>
      <c r="C24" s="186"/>
      <c r="D24" s="191">
        <v>113100</v>
      </c>
      <c r="E24" s="534">
        <v>473600</v>
      </c>
      <c r="F24" s="535"/>
    </row>
    <row r="25" spans="1:6" ht="18.75" customHeight="1">
      <c r="A25" s="185" t="s">
        <v>36</v>
      </c>
      <c r="B25" s="186"/>
      <c r="C25" s="186"/>
      <c r="D25" s="191">
        <v>113700</v>
      </c>
      <c r="E25" s="534">
        <v>0</v>
      </c>
      <c r="F25" s="535"/>
    </row>
    <row r="26" spans="1:6" ht="18.75" customHeight="1">
      <c r="A26" s="185" t="s">
        <v>321</v>
      </c>
      <c r="B26" s="186"/>
      <c r="C26" s="186"/>
      <c r="D26" s="191">
        <v>113800</v>
      </c>
      <c r="E26" s="534">
        <v>0</v>
      </c>
      <c r="F26" s="535"/>
    </row>
    <row r="27" spans="1:6" ht="18.75" customHeight="1">
      <c r="A27" s="723" t="s">
        <v>356</v>
      </c>
      <c r="B27" s="724"/>
      <c r="C27" s="186"/>
      <c r="D27" s="191">
        <v>211000</v>
      </c>
      <c r="E27" s="534">
        <v>0</v>
      </c>
      <c r="F27" s="535"/>
    </row>
    <row r="28" spans="1:6" ht="18.75" customHeight="1">
      <c r="A28" s="723" t="s">
        <v>81</v>
      </c>
      <c r="B28" s="724"/>
      <c r="C28" s="725"/>
      <c r="D28" s="191">
        <v>211000</v>
      </c>
      <c r="E28" s="534">
        <v>0</v>
      </c>
      <c r="F28" s="535"/>
    </row>
    <row r="29" spans="1:6" ht="18.75" customHeight="1">
      <c r="A29" s="723" t="s">
        <v>306</v>
      </c>
      <c r="B29" s="724"/>
      <c r="C29" s="725"/>
      <c r="D29" s="191">
        <v>211000</v>
      </c>
      <c r="E29" s="534">
        <v>0</v>
      </c>
      <c r="F29" s="535"/>
    </row>
    <row r="30" spans="1:6" ht="18.75" customHeight="1">
      <c r="A30" s="185" t="s">
        <v>7</v>
      </c>
      <c r="B30" s="186"/>
      <c r="C30" s="186"/>
      <c r="D30" s="191">
        <v>310000</v>
      </c>
      <c r="E30" s="534">
        <v>0</v>
      </c>
      <c r="F30" s="535"/>
    </row>
    <row r="31" spans="1:6" ht="18.75" customHeight="1">
      <c r="A31" s="185" t="s">
        <v>94</v>
      </c>
      <c r="B31" s="186"/>
      <c r="C31" s="186"/>
      <c r="D31" s="193">
        <v>121000</v>
      </c>
      <c r="E31" s="534">
        <v>0</v>
      </c>
      <c r="F31" s="535"/>
    </row>
    <row r="32" spans="1:9" ht="18.75" customHeight="1">
      <c r="A32" s="194" t="s">
        <v>72</v>
      </c>
      <c r="B32" s="195"/>
      <c r="C32" s="195"/>
      <c r="D32" s="198">
        <v>215001</v>
      </c>
      <c r="E32" s="534">
        <v>6401.81</v>
      </c>
      <c r="F32" s="536">
        <v>5891.24</v>
      </c>
      <c r="G32" s="1" t="s">
        <v>135</v>
      </c>
      <c r="H32" s="174" t="s">
        <v>136</v>
      </c>
      <c r="I32" s="184"/>
    </row>
    <row r="33" spans="1:11" ht="18.75" customHeight="1">
      <c r="A33" s="200" t="s">
        <v>220</v>
      </c>
      <c r="B33" s="195"/>
      <c r="C33" s="195"/>
      <c r="D33" s="196" t="s">
        <v>232</v>
      </c>
      <c r="E33" s="534">
        <v>0</v>
      </c>
      <c r="F33" s="536">
        <v>0</v>
      </c>
      <c r="G33" s="142"/>
      <c r="H33" s="199"/>
      <c r="J33" s="174"/>
      <c r="K33" s="184"/>
    </row>
    <row r="34" spans="1:8" ht="18.75" customHeight="1">
      <c r="A34" s="194" t="s">
        <v>317</v>
      </c>
      <c r="B34" s="195"/>
      <c r="C34" s="195"/>
      <c r="D34" s="198">
        <v>215008</v>
      </c>
      <c r="E34" s="534">
        <v>33000</v>
      </c>
      <c r="F34" s="536">
        <v>0</v>
      </c>
      <c r="G34" s="201"/>
      <c r="H34" s="199"/>
    </row>
    <row r="35" spans="1:8" ht="18.75" customHeight="1">
      <c r="A35" s="194" t="s">
        <v>316</v>
      </c>
      <c r="B35" s="195"/>
      <c r="C35" s="195"/>
      <c r="D35" s="198">
        <v>215009</v>
      </c>
      <c r="E35" s="534">
        <v>0</v>
      </c>
      <c r="F35" s="536">
        <v>0</v>
      </c>
      <c r="G35" s="201"/>
      <c r="H35" s="199"/>
    </row>
    <row r="36" spans="1:8" ht="18.75" customHeight="1">
      <c r="A36" s="194" t="s">
        <v>169</v>
      </c>
      <c r="B36" s="195"/>
      <c r="C36" s="195"/>
      <c r="D36" s="198">
        <v>215013</v>
      </c>
      <c r="E36" s="534">
        <v>17906</v>
      </c>
      <c r="F36" s="536">
        <v>17906</v>
      </c>
      <c r="G36" s="201"/>
      <c r="H36" s="199"/>
    </row>
    <row r="37" spans="1:11" ht="18.75" customHeight="1">
      <c r="A37" s="200" t="s">
        <v>302</v>
      </c>
      <c r="B37" s="195"/>
      <c r="C37" s="195"/>
      <c r="D37" s="187">
        <v>215014</v>
      </c>
      <c r="E37" s="534">
        <v>0</v>
      </c>
      <c r="F37" s="536">
        <v>0</v>
      </c>
      <c r="G37" s="142"/>
      <c r="H37" s="199"/>
      <c r="J37" s="174"/>
      <c r="K37" s="184"/>
    </row>
    <row r="38" spans="1:8" ht="18.75" customHeight="1">
      <c r="A38" s="194" t="s">
        <v>354</v>
      </c>
      <c r="B38" s="195"/>
      <c r="C38" s="195"/>
      <c r="D38" s="202">
        <v>215999</v>
      </c>
      <c r="E38" s="534">
        <v>0</v>
      </c>
      <c r="F38" s="536">
        <v>0</v>
      </c>
      <c r="G38" s="201"/>
      <c r="H38" s="199"/>
    </row>
    <row r="39" spans="1:11" ht="18.75" customHeight="1">
      <c r="A39" s="200" t="s">
        <v>385</v>
      </c>
      <c r="B39" s="195"/>
      <c r="C39" s="195"/>
      <c r="D39" s="187">
        <v>215999</v>
      </c>
      <c r="E39" s="534">
        <v>0</v>
      </c>
      <c r="F39" s="536"/>
      <c r="G39" s="142"/>
      <c r="H39" s="199"/>
      <c r="J39" s="174"/>
      <c r="K39" s="184"/>
    </row>
    <row r="40" spans="1:11" ht="18.75" customHeight="1">
      <c r="A40" s="200" t="s">
        <v>223</v>
      </c>
      <c r="B40" s="195"/>
      <c r="C40" s="195"/>
      <c r="D40" s="187">
        <v>215999</v>
      </c>
      <c r="E40" s="534">
        <v>0</v>
      </c>
      <c r="F40" s="536"/>
      <c r="G40" s="142"/>
      <c r="H40" s="199"/>
      <c r="J40" s="174"/>
      <c r="K40" s="184"/>
    </row>
    <row r="41" spans="1:11" ht="18.75" customHeight="1">
      <c r="A41" s="203" t="s">
        <v>516</v>
      </c>
      <c r="B41" s="195"/>
      <c r="C41" s="195"/>
      <c r="D41" s="187">
        <v>215999</v>
      </c>
      <c r="E41" s="534">
        <v>0</v>
      </c>
      <c r="F41" s="536"/>
      <c r="G41" s="142"/>
      <c r="H41" s="199">
        <f>E24+E32+E36+E38+E41</f>
        <v>497907.81</v>
      </c>
      <c r="J41" s="174"/>
      <c r="K41" s="184"/>
    </row>
    <row r="42" spans="1:11" ht="18.75" customHeight="1">
      <c r="A42" s="200" t="s">
        <v>230</v>
      </c>
      <c r="B42" s="195"/>
      <c r="C42" s="195"/>
      <c r="D42" s="202">
        <v>215999</v>
      </c>
      <c r="E42" s="534">
        <v>0</v>
      </c>
      <c r="F42" s="536">
        <v>0</v>
      </c>
      <c r="G42" s="142"/>
      <c r="H42" s="199"/>
      <c r="J42" s="174"/>
      <c r="K42" s="184"/>
    </row>
    <row r="43" spans="1:11" ht="18.75" customHeight="1">
      <c r="A43" s="200"/>
      <c r="B43" s="195" t="s">
        <v>157</v>
      </c>
      <c r="C43" s="195"/>
      <c r="D43" s="204">
        <v>999</v>
      </c>
      <c r="E43" s="534">
        <v>0</v>
      </c>
      <c r="F43" s="536">
        <v>0</v>
      </c>
      <c r="G43" s="142"/>
      <c r="H43" s="199"/>
      <c r="J43" s="174"/>
      <c r="K43" s="184"/>
    </row>
    <row r="44" spans="1:11" ht="18.75" customHeight="1">
      <c r="A44" s="200" t="s">
        <v>226</v>
      </c>
      <c r="B44" s="195"/>
      <c r="C44" s="195"/>
      <c r="D44" s="204">
        <v>112002</v>
      </c>
      <c r="E44" s="205">
        <v>0</v>
      </c>
      <c r="F44" s="197"/>
      <c r="G44" s="142"/>
      <c r="H44" s="199"/>
      <c r="J44" s="174"/>
      <c r="K44" s="184"/>
    </row>
    <row r="45" spans="1:11" ht="18.75" customHeight="1">
      <c r="A45" s="200" t="s">
        <v>242</v>
      </c>
      <c r="B45" s="195"/>
      <c r="C45" s="195"/>
      <c r="D45" s="153" t="s">
        <v>186</v>
      </c>
      <c r="E45" s="205">
        <v>0</v>
      </c>
      <c r="F45" s="197"/>
      <c r="G45" s="142"/>
      <c r="H45" s="199"/>
      <c r="J45" s="174"/>
      <c r="K45" s="184"/>
    </row>
    <row r="46" spans="1:9" s="211" customFormat="1" ht="18.75" customHeight="1">
      <c r="A46" s="206"/>
      <c r="B46" s="195" t="s">
        <v>101</v>
      </c>
      <c r="C46" s="207"/>
      <c r="D46" s="208" t="s">
        <v>236</v>
      </c>
      <c r="E46" s="205"/>
      <c r="F46" s="197">
        <v>2932928.95</v>
      </c>
      <c r="G46" s="209">
        <f>SUM(E32:E42)</f>
        <v>57307.81</v>
      </c>
      <c r="H46" s="210">
        <f>SUM(F32:F42)</f>
        <v>23797.239999999998</v>
      </c>
      <c r="I46" s="209"/>
    </row>
    <row r="47" spans="1:9" s="211" customFormat="1" ht="18.75" customHeight="1">
      <c r="A47" s="206"/>
      <c r="B47" s="212" t="s">
        <v>151</v>
      </c>
      <c r="C47" s="207"/>
      <c r="D47" s="208" t="s">
        <v>179</v>
      </c>
      <c r="E47" s="213"/>
      <c r="F47" s="197">
        <v>0</v>
      </c>
      <c r="G47" s="209"/>
      <c r="H47" s="210"/>
      <c r="I47" s="209"/>
    </row>
    <row r="48" spans="1:8" ht="18.75" customHeight="1">
      <c r="A48" s="206"/>
      <c r="B48" s="195" t="s">
        <v>489</v>
      </c>
      <c r="C48" s="207"/>
      <c r="D48" s="204">
        <v>400000</v>
      </c>
      <c r="E48" s="213">
        <v>0</v>
      </c>
      <c r="F48" s="197">
        <v>0</v>
      </c>
      <c r="H48" s="184"/>
    </row>
    <row r="49" spans="1:7" ht="18.75" customHeight="1" thickBot="1">
      <c r="A49" s="720" t="s">
        <v>73</v>
      </c>
      <c r="B49" s="721"/>
      <c r="C49" s="722"/>
      <c r="D49" s="214"/>
      <c r="E49" s="215">
        <f>SUM(E6:E48)</f>
        <v>2956726.19</v>
      </c>
      <c r="F49" s="216">
        <f>SUM(F8:F48)</f>
        <v>2956726.1900000004</v>
      </c>
      <c r="G49" s="184">
        <f>E49-F49</f>
        <v>0</v>
      </c>
    </row>
    <row r="50" spans="1:8" ht="21.75" customHeight="1">
      <c r="A50" s="139" t="s">
        <v>703</v>
      </c>
      <c r="B50" s="139"/>
      <c r="C50" s="139"/>
      <c r="D50" s="139"/>
      <c r="E50" s="139"/>
      <c r="F50" s="139"/>
      <c r="G50" s="139"/>
      <c r="H50" s="146"/>
    </row>
    <row r="51" spans="1:6" ht="21.75" customHeight="1">
      <c r="A51" s="711" t="s">
        <v>34</v>
      </c>
      <c r="B51" s="712"/>
      <c r="C51" s="711" t="s">
        <v>439</v>
      </c>
      <c r="D51" s="712"/>
      <c r="E51" s="711" t="s">
        <v>440</v>
      </c>
      <c r="F51" s="712"/>
    </row>
    <row r="52" spans="1:6" ht="18.75" customHeight="1">
      <c r="A52" s="586"/>
      <c r="B52" s="588"/>
      <c r="C52" s="419"/>
      <c r="D52" s="589"/>
      <c r="E52" s="586"/>
      <c r="F52" s="587"/>
    </row>
    <row r="53" spans="1:6" ht="18.75" customHeight="1">
      <c r="A53" s="714" t="s">
        <v>441</v>
      </c>
      <c r="B53" s="715"/>
      <c r="C53" s="729" t="s">
        <v>564</v>
      </c>
      <c r="D53" s="730"/>
      <c r="E53" s="714" t="s">
        <v>441</v>
      </c>
      <c r="F53" s="715"/>
    </row>
    <row r="54" spans="1:6" ht="18.75" customHeight="1">
      <c r="A54" s="716" t="s">
        <v>442</v>
      </c>
      <c r="B54" s="717"/>
      <c r="C54" s="731" t="s">
        <v>563</v>
      </c>
      <c r="D54" s="732"/>
      <c r="E54" s="716" t="s">
        <v>442</v>
      </c>
      <c r="F54" s="717"/>
    </row>
    <row r="55" ht="18.75" customHeight="1"/>
  </sheetData>
  <sheetProtection/>
  <mergeCells count="17"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  <mergeCell ref="A49:C49"/>
    <mergeCell ref="A29:C29"/>
    <mergeCell ref="A2:C2"/>
    <mergeCell ref="D2:F2"/>
    <mergeCell ref="A3:F3"/>
    <mergeCell ref="A5:C5"/>
    <mergeCell ref="A27:B27"/>
    <mergeCell ref="A28:C28"/>
  </mergeCells>
  <printOptions horizontalCentered="1"/>
  <pageMargins left="0.3937007874015748" right="0.1968503937007874" top="0.3937007874015748" bottom="0" header="0.2362204724409449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46">
      <selection activeCell="F71" sqref="F71"/>
    </sheetView>
  </sheetViews>
  <sheetFormatPr defaultColWidth="9.140625" defaultRowHeight="21.75"/>
  <cols>
    <col min="1" max="1" width="14.7109375" style="0" customWidth="1"/>
    <col min="2" max="2" width="20.8515625" style="0" customWidth="1"/>
    <col min="3" max="3" width="33.140625" style="0" customWidth="1"/>
    <col min="4" max="4" width="12.7109375" style="0" customWidth="1"/>
    <col min="5" max="5" width="16.8515625" style="0" customWidth="1"/>
    <col min="6" max="6" width="17.28125" style="0" customWidth="1"/>
    <col min="7" max="7" width="17.140625" style="0" customWidth="1"/>
  </cols>
  <sheetData>
    <row r="1" spans="1:6" ht="19.5" customHeight="1">
      <c r="A1" s="139"/>
      <c r="B1" s="139"/>
      <c r="C1" s="139"/>
      <c r="D1" s="139"/>
      <c r="E1" s="140"/>
      <c r="F1" s="619" t="s">
        <v>720</v>
      </c>
    </row>
    <row r="2" spans="1:7" ht="19.5" customHeight="1">
      <c r="A2" s="139"/>
      <c r="B2" s="139"/>
      <c r="C2" s="139"/>
      <c r="D2" s="143" t="s">
        <v>723</v>
      </c>
      <c r="G2" s="141"/>
    </row>
    <row r="3" spans="1:7" ht="19.5" customHeight="1">
      <c r="A3" s="733" t="s">
        <v>446</v>
      </c>
      <c r="B3" s="733"/>
      <c r="C3" s="733"/>
      <c r="D3" s="733"/>
      <c r="E3" s="733"/>
      <c r="F3" s="733"/>
      <c r="G3" s="141"/>
    </row>
    <row r="4" spans="1:8" ht="19.5" customHeight="1" thickBot="1">
      <c r="A4" s="145" t="s">
        <v>363</v>
      </c>
      <c r="B4" s="139"/>
      <c r="C4" s="139"/>
      <c r="D4" s="139"/>
      <c r="E4" s="139"/>
      <c r="F4" s="139"/>
      <c r="G4" s="139"/>
      <c r="H4" s="146"/>
    </row>
    <row r="5" spans="1:8" ht="19.5" customHeight="1" thickBot="1">
      <c r="A5" s="727" t="s">
        <v>52</v>
      </c>
      <c r="B5" s="728"/>
      <c r="C5" s="728"/>
      <c r="D5" s="608" t="s">
        <v>47</v>
      </c>
      <c r="E5" s="176" t="s">
        <v>9</v>
      </c>
      <c r="F5" s="176" t="s">
        <v>10</v>
      </c>
      <c r="G5" s="139"/>
      <c r="H5" s="146"/>
    </row>
    <row r="6" spans="1:8" ht="19.5" customHeight="1">
      <c r="A6" s="151" t="s">
        <v>6</v>
      </c>
      <c r="B6" s="222"/>
      <c r="C6" s="456"/>
      <c r="D6" s="609">
        <v>40000000</v>
      </c>
      <c r="E6" s="610">
        <f>F43+F57+F58+F59+F60+F61+F62+F63+F64+F65+F66+F67+F68+F69+F70+F71+F72+F73+F76+F79+F80+F81+F77+F78+F82+F74+F75</f>
        <v>1849855.72</v>
      </c>
      <c r="F6" s="610"/>
      <c r="G6" s="139"/>
      <c r="H6" s="146"/>
    </row>
    <row r="7" spans="1:8" ht="19.5" customHeight="1">
      <c r="A7" s="158"/>
      <c r="B7" s="152" t="s">
        <v>421</v>
      </c>
      <c r="C7" s="459"/>
      <c r="D7" s="169">
        <v>41100001</v>
      </c>
      <c r="E7" s="610"/>
      <c r="F7" s="154">
        <v>0</v>
      </c>
      <c r="G7" s="139"/>
      <c r="H7" s="146"/>
    </row>
    <row r="8" spans="1:8" ht="19.5" customHeight="1">
      <c r="A8" s="158"/>
      <c r="B8" s="152" t="s">
        <v>394</v>
      </c>
      <c r="C8" s="459"/>
      <c r="D8" s="169">
        <v>41100003</v>
      </c>
      <c r="E8" s="610"/>
      <c r="F8" s="154">
        <v>0</v>
      </c>
      <c r="G8" s="139"/>
      <c r="H8" s="146"/>
    </row>
    <row r="9" spans="1:8" ht="19.5" customHeight="1">
      <c r="A9" s="158"/>
      <c r="B9" s="152" t="s">
        <v>395</v>
      </c>
      <c r="C9" s="459"/>
      <c r="D9" s="169">
        <v>41100004</v>
      </c>
      <c r="E9" s="610"/>
      <c r="F9" s="154">
        <v>0</v>
      </c>
      <c r="G9" s="155">
        <f>F7+F8+F9</f>
        <v>0</v>
      </c>
      <c r="H9" s="146"/>
    </row>
    <row r="10" spans="1:8" ht="19.5" customHeight="1">
      <c r="A10" s="158"/>
      <c r="B10" s="152" t="s">
        <v>447</v>
      </c>
      <c r="C10" s="459"/>
      <c r="D10" s="169">
        <v>41210009</v>
      </c>
      <c r="E10" s="610"/>
      <c r="F10" s="625">
        <v>0</v>
      </c>
      <c r="G10" s="139"/>
      <c r="H10" s="146"/>
    </row>
    <row r="11" spans="1:8" ht="19.5" customHeight="1">
      <c r="A11" s="158"/>
      <c r="B11" s="152" t="s">
        <v>448</v>
      </c>
      <c r="C11" s="459"/>
      <c r="D11" s="169">
        <v>41210004</v>
      </c>
      <c r="E11" s="610"/>
      <c r="F11" s="625">
        <v>174.6</v>
      </c>
      <c r="G11" s="139"/>
      <c r="H11" s="146"/>
    </row>
    <row r="12" spans="1:8" ht="19.5" customHeight="1">
      <c r="A12" s="158"/>
      <c r="B12" s="152" t="s">
        <v>397</v>
      </c>
      <c r="C12" s="459"/>
      <c r="D12" s="169">
        <v>41210007</v>
      </c>
      <c r="E12" s="610"/>
      <c r="F12" s="154">
        <v>0</v>
      </c>
      <c r="G12" s="139"/>
      <c r="H12" s="146"/>
    </row>
    <row r="13" spans="1:8" ht="19.5" customHeight="1">
      <c r="A13" s="158"/>
      <c r="B13" s="152" t="s">
        <v>449</v>
      </c>
      <c r="C13" s="459"/>
      <c r="D13" s="169">
        <v>41210008</v>
      </c>
      <c r="E13" s="610"/>
      <c r="F13" s="611">
        <v>23700</v>
      </c>
      <c r="G13" s="139"/>
      <c r="H13" s="146"/>
    </row>
    <row r="14" spans="1:8" ht="19.5" customHeight="1">
      <c r="A14" s="158"/>
      <c r="B14" s="152" t="s">
        <v>400</v>
      </c>
      <c r="C14" s="459"/>
      <c r="D14" s="169">
        <v>41220002</v>
      </c>
      <c r="E14" s="612"/>
      <c r="F14" s="154">
        <v>9200</v>
      </c>
      <c r="G14" s="139"/>
      <c r="H14" s="146"/>
    </row>
    <row r="15" spans="1:8" ht="19.5" customHeight="1">
      <c r="A15" s="158"/>
      <c r="B15" s="152" t="s">
        <v>477</v>
      </c>
      <c r="C15" s="459"/>
      <c r="D15" s="169">
        <v>41220007</v>
      </c>
      <c r="E15" s="610"/>
      <c r="F15" s="625">
        <v>0</v>
      </c>
      <c r="G15" s="139"/>
      <c r="H15" s="146"/>
    </row>
    <row r="16" spans="1:8" ht="18.75" customHeight="1">
      <c r="A16" s="158"/>
      <c r="B16" s="152" t="s">
        <v>450</v>
      </c>
      <c r="C16" s="459"/>
      <c r="D16" s="169">
        <v>41210013</v>
      </c>
      <c r="E16" s="610"/>
      <c r="F16" s="625">
        <v>40</v>
      </c>
      <c r="G16" s="139"/>
      <c r="H16" s="146"/>
    </row>
    <row r="17" spans="1:8" ht="19.5" customHeight="1">
      <c r="A17" s="158"/>
      <c r="B17" s="152" t="s">
        <v>451</v>
      </c>
      <c r="C17" s="459"/>
      <c r="D17" s="169">
        <v>41210029</v>
      </c>
      <c r="E17" s="612"/>
      <c r="F17" s="625">
        <v>50</v>
      </c>
      <c r="G17" s="139"/>
      <c r="H17" s="146"/>
    </row>
    <row r="18" spans="1:8" ht="19.5" customHeight="1">
      <c r="A18" s="158"/>
      <c r="B18" s="152" t="s">
        <v>426</v>
      </c>
      <c r="C18" s="459"/>
      <c r="D18" s="169">
        <v>41219999</v>
      </c>
      <c r="E18" s="612"/>
      <c r="F18" s="625">
        <v>0</v>
      </c>
      <c r="G18" s="139"/>
      <c r="H18" s="146"/>
    </row>
    <row r="19" spans="1:8" ht="19.5" customHeight="1">
      <c r="A19" s="158"/>
      <c r="B19" s="152" t="s">
        <v>407</v>
      </c>
      <c r="C19" s="459"/>
      <c r="D19" s="169">
        <v>41220010</v>
      </c>
      <c r="E19" s="612"/>
      <c r="F19" s="625">
        <v>0</v>
      </c>
      <c r="G19" s="139"/>
      <c r="H19" s="146"/>
    </row>
    <row r="20" spans="1:8" ht="19.5" customHeight="1">
      <c r="A20" s="158"/>
      <c r="B20" s="152" t="s">
        <v>452</v>
      </c>
      <c r="C20" s="459"/>
      <c r="D20" s="169">
        <v>41230003</v>
      </c>
      <c r="E20" s="612"/>
      <c r="F20" s="625">
        <v>0</v>
      </c>
      <c r="G20" s="139"/>
      <c r="H20" s="146"/>
    </row>
    <row r="21" spans="1:8" ht="19.5" customHeight="1">
      <c r="A21" s="158"/>
      <c r="B21" s="453" t="s">
        <v>453</v>
      </c>
      <c r="C21" s="459"/>
      <c r="D21" s="169">
        <v>41230004</v>
      </c>
      <c r="E21" s="612"/>
      <c r="F21" s="154">
        <v>0</v>
      </c>
      <c r="G21" s="139"/>
      <c r="H21" s="146"/>
    </row>
    <row r="22" spans="1:8" ht="19.5" customHeight="1">
      <c r="A22" s="158"/>
      <c r="B22" s="709" t="s">
        <v>402</v>
      </c>
      <c r="C22" s="710"/>
      <c r="D22" s="169">
        <v>41230005</v>
      </c>
      <c r="E22" s="612"/>
      <c r="F22" s="154">
        <v>0</v>
      </c>
      <c r="G22" s="139"/>
      <c r="H22" s="146"/>
    </row>
    <row r="23" spans="1:8" ht="18" customHeight="1">
      <c r="A23" s="158"/>
      <c r="B23" s="152" t="s">
        <v>403</v>
      </c>
      <c r="C23" s="459"/>
      <c r="D23" s="169">
        <v>41230007</v>
      </c>
      <c r="E23" s="612"/>
      <c r="F23" s="154">
        <v>0</v>
      </c>
      <c r="G23" s="139"/>
      <c r="H23" s="146"/>
    </row>
    <row r="24" spans="1:8" ht="19.5" customHeight="1">
      <c r="A24" s="158"/>
      <c r="B24" s="152" t="s">
        <v>454</v>
      </c>
      <c r="C24" s="459"/>
      <c r="D24" s="169">
        <v>41230008</v>
      </c>
      <c r="E24" s="612"/>
      <c r="F24" s="154">
        <v>40</v>
      </c>
      <c r="G24" s="139"/>
      <c r="H24" s="146"/>
    </row>
    <row r="25" spans="1:8" ht="18" customHeight="1">
      <c r="A25" s="158"/>
      <c r="B25" s="152" t="s">
        <v>425</v>
      </c>
      <c r="C25" s="459"/>
      <c r="D25" s="169">
        <v>41239999</v>
      </c>
      <c r="E25" s="612"/>
      <c r="F25" s="625">
        <v>0</v>
      </c>
      <c r="G25" s="139"/>
      <c r="H25" s="146"/>
    </row>
    <row r="26" spans="1:8" ht="18" customHeight="1">
      <c r="A26" s="158"/>
      <c r="B26" s="152" t="s">
        <v>484</v>
      </c>
      <c r="C26" s="459"/>
      <c r="D26" s="169">
        <v>41239999</v>
      </c>
      <c r="E26" s="612"/>
      <c r="F26" s="625">
        <v>0</v>
      </c>
      <c r="G26" s="155">
        <f>F11+F12+F13+F14+F15+F16+F18+F19+F17+F20+F21+F22+F23+F24+F25+F26+F27+F28</f>
        <v>33404.6</v>
      </c>
      <c r="H26" s="146"/>
    </row>
    <row r="27" spans="1:8" ht="18" customHeight="1">
      <c r="A27" s="158"/>
      <c r="B27" s="152" t="s">
        <v>560</v>
      </c>
      <c r="C27" s="459"/>
      <c r="D27" s="169"/>
      <c r="E27" s="612"/>
      <c r="F27" s="625">
        <v>0</v>
      </c>
      <c r="G27" s="155"/>
      <c r="H27" s="146"/>
    </row>
    <row r="28" spans="1:8" ht="18" customHeight="1">
      <c r="A28" s="158"/>
      <c r="B28" s="152" t="s">
        <v>408</v>
      </c>
      <c r="C28" s="459"/>
      <c r="D28" s="169"/>
      <c r="E28" s="612"/>
      <c r="F28" s="625">
        <v>200</v>
      </c>
      <c r="G28" s="155"/>
      <c r="H28" s="146"/>
    </row>
    <row r="29" spans="1:8" ht="18" customHeight="1">
      <c r="A29" s="158"/>
      <c r="B29" s="152" t="s">
        <v>455</v>
      </c>
      <c r="C29" s="459"/>
      <c r="D29" s="169">
        <v>41300002</v>
      </c>
      <c r="E29" s="612"/>
      <c r="F29" s="611">
        <v>30760</v>
      </c>
      <c r="G29" s="626"/>
      <c r="H29" s="146"/>
    </row>
    <row r="30" spans="1:8" ht="18" customHeight="1">
      <c r="A30" s="158"/>
      <c r="B30" s="152" t="s">
        <v>495</v>
      </c>
      <c r="C30" s="459"/>
      <c r="D30" s="169"/>
      <c r="E30" s="612"/>
      <c r="F30" s="625">
        <v>0</v>
      </c>
      <c r="G30" s="626">
        <f>F29+F30</f>
        <v>30760</v>
      </c>
      <c r="H30" s="146"/>
    </row>
    <row r="31" spans="1:8" ht="19.5" customHeight="1">
      <c r="A31" s="158"/>
      <c r="B31" s="152" t="s">
        <v>413</v>
      </c>
      <c r="C31" s="459"/>
      <c r="D31" s="169">
        <v>41500004</v>
      </c>
      <c r="E31" s="612"/>
      <c r="F31" s="625">
        <v>0</v>
      </c>
      <c r="G31" s="626"/>
      <c r="H31" s="146"/>
    </row>
    <row r="32" spans="1:8" ht="21" customHeight="1">
      <c r="A32" s="158"/>
      <c r="B32" s="152" t="s">
        <v>414</v>
      </c>
      <c r="C32" s="459"/>
      <c r="D32" s="169">
        <v>41500006</v>
      </c>
      <c r="E32" s="612"/>
      <c r="F32" s="154">
        <v>0</v>
      </c>
      <c r="G32" s="626"/>
      <c r="H32" s="146"/>
    </row>
    <row r="33" spans="1:8" ht="19.5" customHeight="1">
      <c r="A33" s="158"/>
      <c r="B33" s="152" t="s">
        <v>485</v>
      </c>
      <c r="C33" s="459"/>
      <c r="D33" s="169">
        <v>41599999</v>
      </c>
      <c r="E33" s="612"/>
      <c r="F33" s="611">
        <v>1138.5</v>
      </c>
      <c r="G33" s="626">
        <f>F32+F33+F31</f>
        <v>1138.5</v>
      </c>
      <c r="H33" s="146"/>
    </row>
    <row r="34" spans="1:8" ht="21" customHeight="1">
      <c r="A34" s="158"/>
      <c r="B34" s="152" t="s">
        <v>387</v>
      </c>
      <c r="C34" s="459"/>
      <c r="D34" s="169">
        <v>42100001</v>
      </c>
      <c r="E34" s="612"/>
      <c r="F34" s="154">
        <v>46616.75</v>
      </c>
      <c r="G34" s="139"/>
      <c r="H34" s="146"/>
    </row>
    <row r="35" spans="1:8" ht="18" customHeight="1">
      <c r="A35" s="158"/>
      <c r="B35" s="152" t="s">
        <v>456</v>
      </c>
      <c r="C35" s="459"/>
      <c r="D35" s="169">
        <v>42100002</v>
      </c>
      <c r="E35" s="612"/>
      <c r="F35" s="154">
        <v>1160420.4</v>
      </c>
      <c r="G35" s="139"/>
      <c r="H35" s="146"/>
    </row>
    <row r="36" spans="1:8" ht="19.5" customHeight="1">
      <c r="A36" s="158"/>
      <c r="B36" s="152" t="s">
        <v>457</v>
      </c>
      <c r="C36" s="459"/>
      <c r="D36" s="169">
        <v>42100004</v>
      </c>
      <c r="E36" s="612"/>
      <c r="F36" s="154">
        <v>123320.54</v>
      </c>
      <c r="G36" s="139"/>
      <c r="H36" s="146"/>
    </row>
    <row r="37" spans="1:8" ht="19.5" customHeight="1">
      <c r="A37" s="158"/>
      <c r="B37" s="152" t="s">
        <v>383</v>
      </c>
      <c r="C37" s="459"/>
      <c r="D37" s="169">
        <v>42100005</v>
      </c>
      <c r="E37" s="612"/>
      <c r="F37" s="154">
        <v>6193.99</v>
      </c>
      <c r="G37" s="139"/>
      <c r="H37" s="146"/>
    </row>
    <row r="38" spans="1:8" ht="19.5" customHeight="1">
      <c r="A38" s="158"/>
      <c r="B38" s="152" t="s">
        <v>389</v>
      </c>
      <c r="C38" s="459"/>
      <c r="D38" s="169">
        <v>42100006</v>
      </c>
      <c r="E38" s="612"/>
      <c r="F38" s="154">
        <v>0</v>
      </c>
      <c r="G38" s="139"/>
      <c r="H38" s="146"/>
    </row>
    <row r="39" spans="1:8" ht="19.5" customHeight="1">
      <c r="A39" s="158"/>
      <c r="B39" s="152" t="s">
        <v>390</v>
      </c>
      <c r="C39" s="459"/>
      <c r="D39" s="169">
        <v>42100007</v>
      </c>
      <c r="E39" s="612"/>
      <c r="F39" s="154">
        <v>247876.94</v>
      </c>
      <c r="G39" s="139"/>
      <c r="H39" s="146"/>
    </row>
    <row r="40" spans="1:8" ht="19.5" customHeight="1">
      <c r="A40" s="158"/>
      <c r="B40" s="152" t="s">
        <v>417</v>
      </c>
      <c r="C40" s="459"/>
      <c r="D40" s="169">
        <v>42100012</v>
      </c>
      <c r="E40" s="612"/>
      <c r="F40" s="154">
        <v>0</v>
      </c>
      <c r="G40" s="139"/>
      <c r="H40" s="146"/>
    </row>
    <row r="41" spans="1:8" ht="19.5" customHeight="1">
      <c r="A41" s="158"/>
      <c r="B41" s="152" t="s">
        <v>479</v>
      </c>
      <c r="C41" s="459"/>
      <c r="D41" s="169">
        <v>42100013</v>
      </c>
      <c r="E41" s="612"/>
      <c r="F41" s="154">
        <v>0</v>
      </c>
      <c r="G41" s="139"/>
      <c r="H41" s="146"/>
    </row>
    <row r="42" spans="1:8" ht="19.5" customHeight="1" thickBot="1">
      <c r="A42" s="489"/>
      <c r="B42" s="164" t="s">
        <v>458</v>
      </c>
      <c r="C42" s="492"/>
      <c r="D42" s="621">
        <v>42100015</v>
      </c>
      <c r="E42" s="614"/>
      <c r="F42" s="622">
        <v>168441</v>
      </c>
      <c r="G42" s="155">
        <f>F34+F35+F36+F37+F38+F39+F40+F41+F42</f>
        <v>1752869.6199999999</v>
      </c>
      <c r="H42" s="146"/>
    </row>
    <row r="43" spans="1:8" ht="19.5" customHeight="1" thickBot="1">
      <c r="A43" s="646"/>
      <c r="B43" s="647"/>
      <c r="C43" s="647" t="s">
        <v>70</v>
      </c>
      <c r="D43" s="618"/>
      <c r="E43" s="648"/>
      <c r="F43" s="648">
        <f>SUM(F7:F42)</f>
        <v>1818172.72</v>
      </c>
      <c r="G43" s="139"/>
      <c r="H43" s="146"/>
    </row>
    <row r="44" spans="1:8" ht="19.5" customHeight="1">
      <c r="A44" s="640"/>
      <c r="B44" s="641"/>
      <c r="C44" s="641"/>
      <c r="D44" s="642"/>
      <c r="E44" s="643"/>
      <c r="F44" s="643"/>
      <c r="G44" s="139"/>
      <c r="H44" s="146"/>
    </row>
    <row r="45" spans="1:8" ht="19.5" customHeight="1">
      <c r="A45" s="139" t="s">
        <v>721</v>
      </c>
      <c r="B45" s="139"/>
      <c r="C45" s="139"/>
      <c r="D45" s="139"/>
      <c r="E45" s="139"/>
      <c r="F45" s="139"/>
      <c r="G45" s="139"/>
      <c r="H45" s="146"/>
    </row>
    <row r="46" spans="1:8" ht="19.5" customHeight="1">
      <c r="A46" s="711" t="s">
        <v>34</v>
      </c>
      <c r="B46" s="712"/>
      <c r="C46" s="711" t="s">
        <v>439</v>
      </c>
      <c r="D46" s="712"/>
      <c r="E46" s="711" t="s">
        <v>440</v>
      </c>
      <c r="F46" s="712"/>
      <c r="G46" s="139"/>
      <c r="H46" s="146"/>
    </row>
    <row r="47" spans="1:8" ht="19.5" customHeight="1">
      <c r="A47" s="586"/>
      <c r="B47" s="588"/>
      <c r="C47" s="419"/>
      <c r="D47" s="589"/>
      <c r="E47" s="586"/>
      <c r="F47" s="587"/>
      <c r="G47" s="139"/>
      <c r="H47" s="146"/>
    </row>
    <row r="48" spans="1:8" ht="19.5" customHeight="1">
      <c r="A48" s="714" t="s">
        <v>441</v>
      </c>
      <c r="B48" s="715"/>
      <c r="C48" s="729" t="s">
        <v>562</v>
      </c>
      <c r="D48" s="730"/>
      <c r="E48" s="714" t="s">
        <v>441</v>
      </c>
      <c r="F48" s="715"/>
      <c r="G48" s="139"/>
      <c r="H48" s="146"/>
    </row>
    <row r="49" spans="1:8" ht="19.5" customHeight="1">
      <c r="A49" s="716" t="s">
        <v>442</v>
      </c>
      <c r="B49" s="717"/>
      <c r="C49" s="731" t="s">
        <v>563</v>
      </c>
      <c r="D49" s="732"/>
      <c r="E49" s="716" t="s">
        <v>442</v>
      </c>
      <c r="F49" s="717"/>
      <c r="G49" s="139"/>
      <c r="H49" s="146"/>
    </row>
    <row r="50" spans="1:8" ht="19.5" customHeight="1">
      <c r="A50" s="169"/>
      <c r="B50" s="169"/>
      <c r="C50" s="170"/>
      <c r="D50" s="170"/>
      <c r="E50" s="169"/>
      <c r="F50" s="169"/>
      <c r="G50" s="139"/>
      <c r="H50" s="146"/>
    </row>
    <row r="51" spans="1:8" ht="23.25">
      <c r="A51" s="139"/>
      <c r="B51" s="139"/>
      <c r="C51" s="139"/>
      <c r="D51" s="139"/>
      <c r="E51" s="140"/>
      <c r="F51" s="619" t="s">
        <v>537</v>
      </c>
      <c r="G51" s="139"/>
      <c r="H51" s="146"/>
    </row>
    <row r="52" spans="1:8" ht="23.25">
      <c r="A52" s="139"/>
      <c r="B52" s="139"/>
      <c r="C52" s="139"/>
      <c r="D52" s="143" t="s">
        <v>722</v>
      </c>
      <c r="G52" s="139"/>
      <c r="H52" s="146"/>
    </row>
    <row r="53" spans="1:8" ht="23.25">
      <c r="A53" s="733" t="s">
        <v>446</v>
      </c>
      <c r="B53" s="733"/>
      <c r="C53" s="733"/>
      <c r="D53" s="733"/>
      <c r="E53" s="733"/>
      <c r="F53" s="733"/>
      <c r="G53" s="139"/>
      <c r="H53" s="146"/>
    </row>
    <row r="54" spans="1:8" ht="24" thickBot="1">
      <c r="A54" s="145" t="s">
        <v>363</v>
      </c>
      <c r="B54" s="139"/>
      <c r="C54" s="139"/>
      <c r="D54" s="139"/>
      <c r="E54" s="139"/>
      <c r="F54" s="139"/>
      <c r="G54" s="139"/>
      <c r="H54" s="146"/>
    </row>
    <row r="55" spans="1:8" ht="24" thickBot="1">
      <c r="A55" s="727" t="s">
        <v>52</v>
      </c>
      <c r="B55" s="728"/>
      <c r="C55" s="728"/>
      <c r="D55" s="608" t="s">
        <v>47</v>
      </c>
      <c r="E55" s="176" t="s">
        <v>9</v>
      </c>
      <c r="F55" s="176" t="s">
        <v>10</v>
      </c>
      <c r="G55" s="139"/>
      <c r="H55" s="146"/>
    </row>
    <row r="56" spans="1:8" ht="23.25">
      <c r="A56" s="457"/>
      <c r="B56" s="246" t="s">
        <v>48</v>
      </c>
      <c r="C56" s="697"/>
      <c r="D56" s="219"/>
      <c r="E56" s="696"/>
      <c r="F56" s="696">
        <f>F43</f>
        <v>1818172.72</v>
      </c>
      <c r="G56" s="139"/>
      <c r="H56" s="146"/>
    </row>
    <row r="57" spans="1:8" ht="23.25">
      <c r="A57" s="457"/>
      <c r="B57" s="152" t="s">
        <v>638</v>
      </c>
      <c r="C57" s="459"/>
      <c r="D57" s="169"/>
      <c r="E57" s="612"/>
      <c r="F57" s="154">
        <v>0</v>
      </c>
      <c r="G57" s="139"/>
      <c r="H57" s="146"/>
    </row>
    <row r="58" spans="1:8" ht="23.25">
      <c r="A58" s="158"/>
      <c r="B58" s="152" t="s">
        <v>285</v>
      </c>
      <c r="C58" s="459"/>
      <c r="D58" s="169">
        <v>41100001</v>
      </c>
      <c r="E58" s="610"/>
      <c r="F58" s="154">
        <v>0</v>
      </c>
      <c r="G58" s="139"/>
      <c r="H58" s="146"/>
    </row>
    <row r="59" spans="1:8" ht="23.25">
      <c r="A59" s="158"/>
      <c r="B59" s="152" t="s">
        <v>511</v>
      </c>
      <c r="C59" s="459"/>
      <c r="D59" s="169">
        <v>41100003</v>
      </c>
      <c r="E59" s="610"/>
      <c r="F59" s="154">
        <v>0</v>
      </c>
      <c r="G59" s="139"/>
      <c r="H59" s="146"/>
    </row>
    <row r="60" spans="1:8" ht="23.25">
      <c r="A60" s="158"/>
      <c r="B60" s="152" t="s">
        <v>543</v>
      </c>
      <c r="C60" s="459"/>
      <c r="D60" s="169">
        <v>41230003</v>
      </c>
      <c r="E60" s="612"/>
      <c r="F60" s="625">
        <v>0</v>
      </c>
      <c r="G60" s="139"/>
      <c r="H60" s="146"/>
    </row>
    <row r="61" spans="1:8" ht="23.25">
      <c r="A61" s="158"/>
      <c r="B61" s="152" t="s">
        <v>510</v>
      </c>
      <c r="C61" s="459"/>
      <c r="D61" s="169">
        <v>41210007</v>
      </c>
      <c r="E61" s="610"/>
      <c r="F61" s="154">
        <v>0</v>
      </c>
      <c r="G61" s="139"/>
      <c r="H61" s="146"/>
    </row>
    <row r="62" spans="1:8" ht="23.25">
      <c r="A62" s="158"/>
      <c r="B62" s="152" t="s">
        <v>538</v>
      </c>
      <c r="C62" s="459"/>
      <c r="D62" s="169">
        <v>41210004</v>
      </c>
      <c r="E62" s="610"/>
      <c r="F62" s="154">
        <v>0</v>
      </c>
      <c r="G62" s="139"/>
      <c r="H62" s="146"/>
    </row>
    <row r="63" spans="1:7" ht="21.75" customHeight="1">
      <c r="A63" s="158"/>
      <c r="B63" s="152" t="s">
        <v>561</v>
      </c>
      <c r="C63" s="459"/>
      <c r="D63" s="169"/>
      <c r="E63" s="612"/>
      <c r="F63" s="625">
        <v>0</v>
      </c>
      <c r="G63" s="139"/>
    </row>
    <row r="64" spans="1:7" ht="21.75" customHeight="1">
      <c r="A64" s="158"/>
      <c r="B64" s="152" t="s">
        <v>642</v>
      </c>
      <c r="C64" s="459"/>
      <c r="D64" s="169"/>
      <c r="E64" s="612"/>
      <c r="F64" s="625">
        <v>0</v>
      </c>
      <c r="G64" s="139"/>
    </row>
    <row r="65" spans="1:7" ht="21.75" customHeight="1">
      <c r="A65" s="158"/>
      <c r="B65" s="152" t="s">
        <v>539</v>
      </c>
      <c r="C65" s="459"/>
      <c r="D65" s="169">
        <v>41210008</v>
      </c>
      <c r="E65" s="610"/>
      <c r="F65" s="154">
        <v>0</v>
      </c>
      <c r="G65" s="139"/>
    </row>
    <row r="66" spans="1:7" ht="21.75" customHeight="1">
      <c r="A66" s="158"/>
      <c r="B66" s="152" t="s">
        <v>540</v>
      </c>
      <c r="C66" s="459"/>
      <c r="D66" s="169">
        <v>41220002</v>
      </c>
      <c r="E66" s="612"/>
      <c r="F66" s="154">
        <v>0</v>
      </c>
      <c r="G66" s="139"/>
    </row>
    <row r="67" spans="1:7" ht="21.75" customHeight="1">
      <c r="A67" s="158"/>
      <c r="B67" s="644" t="s">
        <v>541</v>
      </c>
      <c r="C67" s="459"/>
      <c r="D67" s="169">
        <v>41220007</v>
      </c>
      <c r="E67" s="610"/>
      <c r="F67" s="625">
        <v>0</v>
      </c>
      <c r="G67" s="139"/>
    </row>
    <row r="68" spans="1:7" ht="21.75" customHeight="1">
      <c r="A68" s="158"/>
      <c r="B68" s="152" t="s">
        <v>542</v>
      </c>
      <c r="C68" s="459"/>
      <c r="D68" s="169">
        <v>41210013</v>
      </c>
      <c r="E68" s="610"/>
      <c r="F68" s="625">
        <v>0</v>
      </c>
      <c r="G68" s="139"/>
    </row>
    <row r="69" spans="1:7" ht="21.75" customHeight="1">
      <c r="A69" s="158"/>
      <c r="B69" s="152" t="s">
        <v>488</v>
      </c>
      <c r="C69" s="459"/>
      <c r="D69" s="169">
        <v>41210029</v>
      </c>
      <c r="E69" s="612"/>
      <c r="F69" s="625">
        <v>0</v>
      </c>
      <c r="G69" s="139"/>
    </row>
    <row r="70" spans="1:7" ht="21.75" customHeight="1">
      <c r="A70" s="158"/>
      <c r="B70" s="152" t="s">
        <v>508</v>
      </c>
      <c r="C70" s="459"/>
      <c r="D70" s="169">
        <v>41219999</v>
      </c>
      <c r="E70" s="612"/>
      <c r="F70" s="625">
        <v>30000</v>
      </c>
      <c r="G70" s="139"/>
    </row>
    <row r="71" spans="1:7" ht="21.75" customHeight="1">
      <c r="A71" s="158"/>
      <c r="B71" s="152" t="s">
        <v>509</v>
      </c>
      <c r="C71" s="459"/>
      <c r="D71" s="169">
        <v>41220010</v>
      </c>
      <c r="E71" s="612"/>
      <c r="F71" s="625">
        <v>0</v>
      </c>
      <c r="G71" s="139"/>
    </row>
    <row r="72" spans="1:7" ht="21.75" customHeight="1">
      <c r="A72" s="158"/>
      <c r="B72" s="152" t="s">
        <v>639</v>
      </c>
      <c r="C72" s="459"/>
      <c r="D72" s="169"/>
      <c r="E72" s="612"/>
      <c r="F72" s="625">
        <v>0</v>
      </c>
      <c r="G72" s="139"/>
    </row>
    <row r="73" spans="1:7" ht="21.75" customHeight="1">
      <c r="A73" s="158"/>
      <c r="B73" s="152" t="s">
        <v>643</v>
      </c>
      <c r="C73" s="459"/>
      <c r="D73" s="169">
        <v>41210009</v>
      </c>
      <c r="E73" s="610"/>
      <c r="F73" s="154">
        <v>0</v>
      </c>
      <c r="G73" s="139"/>
    </row>
    <row r="74" spans="1:7" ht="21.75" customHeight="1">
      <c r="A74" s="158"/>
      <c r="B74" s="453" t="s">
        <v>544</v>
      </c>
      <c r="C74" s="459"/>
      <c r="D74" s="169">
        <v>41230004</v>
      </c>
      <c r="E74" s="612"/>
      <c r="F74" s="154">
        <v>0</v>
      </c>
      <c r="G74" s="139"/>
    </row>
    <row r="75" spans="1:7" ht="21.75" customHeight="1">
      <c r="A75" s="158"/>
      <c r="B75" s="709" t="s">
        <v>545</v>
      </c>
      <c r="C75" s="710"/>
      <c r="D75" s="169">
        <v>41230005</v>
      </c>
      <c r="E75" s="612"/>
      <c r="F75" s="154">
        <v>0</v>
      </c>
      <c r="G75" s="155"/>
    </row>
    <row r="76" spans="1:7" ht="21.75" customHeight="1">
      <c r="A76" s="158"/>
      <c r="B76" s="682" t="s">
        <v>641</v>
      </c>
      <c r="C76" s="683"/>
      <c r="D76" s="169"/>
      <c r="E76" s="612"/>
      <c r="F76" s="154">
        <v>0</v>
      </c>
      <c r="G76" s="155">
        <f>SUM(F57:F78)</f>
        <v>31683</v>
      </c>
    </row>
    <row r="77" spans="1:7" ht="21.75" customHeight="1">
      <c r="A77" s="158"/>
      <c r="B77" s="682" t="s">
        <v>656</v>
      </c>
      <c r="C77" s="683"/>
      <c r="D77" s="169"/>
      <c r="E77" s="612"/>
      <c r="F77" s="154">
        <v>153</v>
      </c>
      <c r="G77" s="155"/>
    </row>
    <row r="78" spans="1:7" ht="21.75" customHeight="1">
      <c r="A78" s="158"/>
      <c r="B78" s="682" t="s">
        <v>657</v>
      </c>
      <c r="C78" s="683"/>
      <c r="D78" s="169"/>
      <c r="E78" s="612"/>
      <c r="F78" s="154">
        <v>1530</v>
      </c>
      <c r="G78" s="155"/>
    </row>
    <row r="79" spans="1:7" ht="21.75" customHeight="1">
      <c r="A79" s="158"/>
      <c r="B79" s="152" t="s">
        <v>245</v>
      </c>
      <c r="C79" s="459"/>
      <c r="D79" s="169">
        <v>41230007</v>
      </c>
      <c r="E79" s="612"/>
      <c r="F79" s="154">
        <v>0</v>
      </c>
      <c r="G79" s="139"/>
    </row>
    <row r="80" spans="1:7" ht="21.75" customHeight="1">
      <c r="A80" s="158"/>
      <c r="B80" s="152" t="s">
        <v>640</v>
      </c>
      <c r="C80" s="459"/>
      <c r="D80" s="169">
        <v>41230007</v>
      </c>
      <c r="E80" s="612"/>
      <c r="F80" s="154">
        <v>0</v>
      </c>
      <c r="G80" s="139"/>
    </row>
    <row r="81" spans="1:7" ht="21.75" customHeight="1">
      <c r="A81" s="158"/>
      <c r="B81" s="152" t="s">
        <v>478</v>
      </c>
      <c r="C81" s="459"/>
      <c r="D81" s="169">
        <v>41230008</v>
      </c>
      <c r="E81" s="612"/>
      <c r="F81" s="154">
        <v>0</v>
      </c>
      <c r="G81" s="155">
        <f>SUM(F79:F81)</f>
        <v>0</v>
      </c>
    </row>
    <row r="82" spans="1:7" ht="21.75" customHeight="1">
      <c r="A82" s="158"/>
      <c r="B82" s="152" t="s">
        <v>658</v>
      </c>
      <c r="C82" s="459"/>
      <c r="D82" s="169"/>
      <c r="E82" s="612"/>
      <c r="F82" s="154">
        <v>0</v>
      </c>
      <c r="G82" s="139"/>
    </row>
    <row r="83" spans="1:7" ht="21.75" customHeight="1">
      <c r="A83" s="158"/>
      <c r="B83" s="152"/>
      <c r="C83" s="459"/>
      <c r="D83" s="169"/>
      <c r="E83" s="612"/>
      <c r="F83" s="154">
        <v>0</v>
      </c>
      <c r="G83" s="139"/>
    </row>
    <row r="84" spans="1:7" ht="21.75" customHeight="1">
      <c r="A84" s="158"/>
      <c r="B84" s="152"/>
      <c r="C84" s="459"/>
      <c r="D84" s="169"/>
      <c r="E84" s="612"/>
      <c r="F84" s="611"/>
      <c r="G84" s="139"/>
    </row>
    <row r="85" spans="1:7" ht="21.75" customHeight="1">
      <c r="A85" s="158"/>
      <c r="B85" s="152"/>
      <c r="C85" s="459"/>
      <c r="D85" s="169"/>
      <c r="E85" s="612"/>
      <c r="F85" s="611"/>
      <c r="G85" s="139"/>
    </row>
    <row r="86" spans="1:7" ht="21.75" customHeight="1">
      <c r="A86" s="158"/>
      <c r="B86" s="152"/>
      <c r="C86" s="459"/>
      <c r="D86" s="169"/>
      <c r="E86" s="612"/>
      <c r="F86" s="611"/>
      <c r="G86" s="139"/>
    </row>
    <row r="87" spans="1:7" ht="21.75" customHeight="1" thickBot="1">
      <c r="A87" s="489"/>
      <c r="B87" s="645"/>
      <c r="C87" s="492"/>
      <c r="D87" s="621"/>
      <c r="E87" s="614"/>
      <c r="F87" s="622"/>
      <c r="G87" s="139"/>
    </row>
    <row r="88" spans="1:7" ht="21.75" customHeight="1" thickBot="1">
      <c r="A88" s="615" t="s">
        <v>73</v>
      </c>
      <c r="B88" s="616"/>
      <c r="C88" s="617"/>
      <c r="D88" s="618"/>
      <c r="E88" s="613">
        <f>E6</f>
        <v>1849855.72</v>
      </c>
      <c r="F88" s="613">
        <f>SUM(F56:F87)</f>
        <v>1849855.72</v>
      </c>
      <c r="G88" s="139"/>
    </row>
    <row r="89" spans="1:7" ht="21.75" customHeight="1">
      <c r="A89" s="139" t="s">
        <v>721</v>
      </c>
      <c r="B89" s="139"/>
      <c r="C89" s="139"/>
      <c r="D89" s="139"/>
      <c r="E89" s="139"/>
      <c r="F89" s="139"/>
      <c r="G89" s="139"/>
    </row>
    <row r="90" spans="1:7" ht="21.75" customHeight="1">
      <c r="A90" s="711" t="s">
        <v>34</v>
      </c>
      <c r="B90" s="712"/>
      <c r="C90" s="711" t="s">
        <v>439</v>
      </c>
      <c r="D90" s="712"/>
      <c r="E90" s="711" t="s">
        <v>440</v>
      </c>
      <c r="F90" s="712"/>
      <c r="G90" s="139"/>
    </row>
    <row r="91" spans="1:7" ht="21.75" customHeight="1">
      <c r="A91" s="586"/>
      <c r="B91" s="588"/>
      <c r="C91" s="419"/>
      <c r="D91" s="589"/>
      <c r="E91" s="586"/>
      <c r="F91" s="587"/>
      <c r="G91" s="139"/>
    </row>
    <row r="92" spans="1:7" ht="21.75" customHeight="1">
      <c r="A92" s="714" t="s">
        <v>441</v>
      </c>
      <c r="B92" s="715"/>
      <c r="C92" s="729" t="s">
        <v>562</v>
      </c>
      <c r="D92" s="730"/>
      <c r="E92" s="714" t="s">
        <v>441</v>
      </c>
      <c r="F92" s="715"/>
      <c r="G92" s="139"/>
    </row>
    <row r="93" spans="1:7" ht="21.75" customHeight="1">
      <c r="A93" s="716" t="s">
        <v>442</v>
      </c>
      <c r="B93" s="717"/>
      <c r="C93" s="731" t="s">
        <v>563</v>
      </c>
      <c r="D93" s="732"/>
      <c r="E93" s="716" t="s">
        <v>442</v>
      </c>
      <c r="F93" s="717"/>
      <c r="G93" s="139"/>
    </row>
    <row r="94" spans="1:7" ht="21.75" customHeight="1">
      <c r="A94" s="139"/>
      <c r="B94" s="139"/>
      <c r="C94" s="139"/>
      <c r="D94" s="139"/>
      <c r="E94" s="139"/>
      <c r="F94" s="139"/>
      <c r="G94" s="139"/>
    </row>
    <row r="95" spans="1:7" ht="21.75" customHeight="1">
      <c r="A95" s="139"/>
      <c r="B95" s="139"/>
      <c r="C95" s="139"/>
      <c r="D95" s="139"/>
      <c r="E95" s="139"/>
      <c r="F95" s="139"/>
      <c r="G95" s="139"/>
    </row>
    <row r="96" spans="1:7" ht="21.75" customHeight="1">
      <c r="A96" s="139"/>
      <c r="B96" s="139"/>
      <c r="C96" s="139"/>
      <c r="D96" s="139"/>
      <c r="E96" s="139"/>
      <c r="F96" s="139"/>
      <c r="G96" s="139"/>
    </row>
    <row r="97" spans="1:7" ht="21.75" customHeight="1">
      <c r="A97" s="139"/>
      <c r="B97" s="139"/>
      <c r="C97" s="139"/>
      <c r="D97" s="139" t="s">
        <v>258</v>
      </c>
      <c r="E97" s="139"/>
      <c r="F97" s="139"/>
      <c r="G97" s="139"/>
    </row>
    <row r="98" spans="1:7" ht="21.75" customHeight="1">
      <c r="A98" s="139"/>
      <c r="B98" s="139"/>
      <c r="C98" s="139"/>
      <c r="D98" s="139" t="s">
        <v>459</v>
      </c>
      <c r="E98" s="139"/>
      <c r="F98" s="139"/>
      <c r="G98" s="139"/>
    </row>
    <row r="99" spans="1:7" ht="21.75" customHeight="1">
      <c r="A99" s="139"/>
      <c r="B99" s="139"/>
      <c r="C99" s="139"/>
      <c r="D99" s="139" t="s">
        <v>460</v>
      </c>
      <c r="E99" s="139"/>
      <c r="F99" s="139"/>
      <c r="G99" s="139"/>
    </row>
    <row r="100" ht="21.75" customHeight="1"/>
  </sheetData>
  <sheetProtection/>
  <mergeCells count="24">
    <mergeCell ref="A92:B92"/>
    <mergeCell ref="C92:D92"/>
    <mergeCell ref="E92:F92"/>
    <mergeCell ref="A93:B93"/>
    <mergeCell ref="C93:D93"/>
    <mergeCell ref="E93:F93"/>
    <mergeCell ref="A53:F53"/>
    <mergeCell ref="A55:C55"/>
    <mergeCell ref="B75:C75"/>
    <mergeCell ref="A90:B90"/>
    <mergeCell ref="C90:D90"/>
    <mergeCell ref="E90:F90"/>
    <mergeCell ref="B22:C22"/>
    <mergeCell ref="A3:F3"/>
    <mergeCell ref="A5:C5"/>
    <mergeCell ref="A48:B48"/>
    <mergeCell ref="C48:D48"/>
    <mergeCell ref="E48:F48"/>
    <mergeCell ref="A49:B49"/>
    <mergeCell ref="C49:D49"/>
    <mergeCell ref="E49:F49"/>
    <mergeCell ref="A46:B46"/>
    <mergeCell ref="C46:D46"/>
    <mergeCell ref="E46:F46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5"/>
  <sheetViews>
    <sheetView view="pageBreakPreview" zoomScaleSheetLayoutView="100" workbookViewId="0" topLeftCell="A181">
      <selection activeCell="C9" sqref="C9"/>
    </sheetView>
  </sheetViews>
  <sheetFormatPr defaultColWidth="9.140625" defaultRowHeight="21" customHeight="1"/>
  <cols>
    <col min="1" max="1" width="11.8515625" style="1" customWidth="1"/>
    <col min="2" max="2" width="24.140625" style="1" customWidth="1"/>
    <col min="3" max="3" width="16.421875" style="1" customWidth="1"/>
    <col min="4" max="4" width="17.8515625" style="2" customWidth="1"/>
    <col min="5" max="5" width="17.140625" style="537" customWidth="1"/>
    <col min="6" max="6" width="17.28125" style="2" customWidth="1"/>
    <col min="7" max="7" width="17.7109375" style="2" customWidth="1"/>
    <col min="8" max="8" width="7.140625" style="159" customWidth="1"/>
    <col min="9" max="9" width="17.421875" style="1" customWidth="1"/>
    <col min="10" max="16384" width="9.140625" style="1" customWidth="1"/>
  </cols>
  <sheetData>
    <row r="1" spans="1:7" ht="21" customHeight="1">
      <c r="A1" s="252"/>
      <c r="B1" s="252"/>
      <c r="C1" s="240"/>
      <c r="D1" s="172"/>
      <c r="E1" s="172"/>
      <c r="F1" s="172"/>
      <c r="G1" s="172"/>
    </row>
    <row r="2" spans="6:7" ht="21" customHeight="1">
      <c r="F2" s="737" t="s">
        <v>630</v>
      </c>
      <c r="G2" s="737"/>
    </row>
    <row r="3" spans="5:7" ht="21" customHeight="1">
      <c r="E3" s="704" t="s">
        <v>724</v>
      </c>
      <c r="F3" s="704"/>
      <c r="G3" s="704"/>
    </row>
    <row r="4" spans="1:7" ht="21" customHeight="1">
      <c r="A4" s="702" t="s">
        <v>89</v>
      </c>
      <c r="B4" s="702"/>
      <c r="C4" s="702"/>
      <c r="D4" s="702"/>
      <c r="E4" s="702"/>
      <c r="F4" s="702"/>
      <c r="G4" s="702"/>
    </row>
    <row r="5" spans="1:4" ht="21" customHeight="1" thickBot="1">
      <c r="A5" s="174" t="s">
        <v>120</v>
      </c>
      <c r="B5" s="174"/>
      <c r="C5" s="174"/>
      <c r="D5" s="223"/>
    </row>
    <row r="6" spans="1:7" ht="21" customHeight="1" thickBot="1">
      <c r="A6" s="727" t="s">
        <v>52</v>
      </c>
      <c r="B6" s="744"/>
      <c r="C6" s="744"/>
      <c r="D6" s="745"/>
      <c r="E6" s="538" t="s">
        <v>47</v>
      </c>
      <c r="F6" s="225" t="s">
        <v>9</v>
      </c>
      <c r="G6" s="226" t="s">
        <v>10</v>
      </c>
    </row>
    <row r="7" spans="1:7" ht="21" customHeight="1">
      <c r="A7" s="185" t="s">
        <v>45</v>
      </c>
      <c r="B7" s="186"/>
      <c r="C7" s="186"/>
      <c r="D7" s="186"/>
      <c r="E7" s="539" t="s">
        <v>684</v>
      </c>
      <c r="F7" s="227">
        <v>465900</v>
      </c>
      <c r="G7" s="228"/>
    </row>
    <row r="8" spans="1:7" ht="21" customHeight="1">
      <c r="A8" s="195" t="s">
        <v>1</v>
      </c>
      <c r="B8" s="207"/>
      <c r="C8" s="186"/>
      <c r="D8" s="552"/>
      <c r="E8" s="540" t="s">
        <v>683</v>
      </c>
      <c r="F8" s="230">
        <v>34000</v>
      </c>
      <c r="G8" s="231"/>
    </row>
    <row r="9" spans="1:7" ht="21" customHeight="1">
      <c r="A9" s="232"/>
      <c r="B9" s="186" t="s">
        <v>350</v>
      </c>
      <c r="C9" s="186"/>
      <c r="E9" s="540" t="s">
        <v>685</v>
      </c>
      <c r="F9" s="230"/>
      <c r="G9" s="231">
        <f>F7+F8</f>
        <v>499900</v>
      </c>
    </row>
    <row r="10" spans="1:7" ht="21" customHeight="1">
      <c r="A10" s="232"/>
      <c r="B10" s="233"/>
      <c r="C10" s="233"/>
      <c r="D10" s="233"/>
      <c r="E10" s="540"/>
      <c r="F10" s="230"/>
      <c r="G10" s="231"/>
    </row>
    <row r="11" spans="1:7" ht="21" customHeight="1">
      <c r="A11" s="232"/>
      <c r="B11" s="233"/>
      <c r="C11" s="233"/>
      <c r="D11" s="233"/>
      <c r="E11" s="540"/>
      <c r="F11" s="230"/>
      <c r="G11" s="231"/>
    </row>
    <row r="12" spans="1:7" ht="21" customHeight="1">
      <c r="A12" s="232"/>
      <c r="B12" s="233"/>
      <c r="C12" s="233"/>
      <c r="D12" s="233"/>
      <c r="E12" s="540"/>
      <c r="F12" s="234"/>
      <c r="G12" s="231"/>
    </row>
    <row r="13" spans="1:7" ht="21" customHeight="1">
      <c r="A13" s="232"/>
      <c r="B13" s="233"/>
      <c r="C13" s="233"/>
      <c r="D13" s="233"/>
      <c r="E13" s="540"/>
      <c r="F13" s="234"/>
      <c r="G13" s="231"/>
    </row>
    <row r="14" spans="1:7" ht="21" customHeight="1" thickBot="1">
      <c r="A14" s="235"/>
      <c r="B14" s="236"/>
      <c r="C14" s="236"/>
      <c r="D14" s="237"/>
      <c r="E14" s="541"/>
      <c r="F14" s="238">
        <f>SUM(F7:F8)</f>
        <v>499900</v>
      </c>
      <c r="G14" s="239">
        <f>G9</f>
        <v>499900</v>
      </c>
    </row>
    <row r="15" spans="1:7" ht="21" customHeight="1" thickTop="1">
      <c r="A15" s="217" t="s">
        <v>90</v>
      </c>
      <c r="B15" s="240" t="s">
        <v>552</v>
      </c>
      <c r="C15" s="241"/>
      <c r="D15" s="242"/>
      <c r="E15" s="524"/>
      <c r="F15" s="531"/>
      <c r="G15" s="596"/>
    </row>
    <row r="16" spans="1:7" ht="21" customHeight="1">
      <c r="A16" s="244"/>
      <c r="B16" s="240"/>
      <c r="C16" s="241"/>
      <c r="D16" s="242"/>
      <c r="E16" s="524"/>
      <c r="F16" s="171"/>
      <c r="G16" s="593"/>
    </row>
    <row r="17" spans="1:7" ht="21" customHeight="1">
      <c r="A17" s="245">
        <v>1</v>
      </c>
      <c r="B17" s="746" t="s">
        <v>636</v>
      </c>
      <c r="C17" s="746"/>
      <c r="D17" s="746"/>
      <c r="E17" s="170" t="s">
        <v>46</v>
      </c>
      <c r="F17" s="524">
        <v>365900</v>
      </c>
      <c r="G17" s="593" t="s">
        <v>30</v>
      </c>
    </row>
    <row r="18" spans="1:7" ht="21" customHeight="1">
      <c r="A18" s="245">
        <v>2</v>
      </c>
      <c r="B18" s="746" t="s">
        <v>637</v>
      </c>
      <c r="C18" s="746"/>
      <c r="D18" s="746"/>
      <c r="E18" s="170" t="s">
        <v>46</v>
      </c>
      <c r="F18" s="171">
        <v>100000</v>
      </c>
      <c r="G18" s="593" t="s">
        <v>30</v>
      </c>
    </row>
    <row r="19" spans="1:7" ht="21" customHeight="1">
      <c r="A19" s="245">
        <v>3</v>
      </c>
      <c r="B19" s="746" t="s">
        <v>704</v>
      </c>
      <c r="C19" s="746"/>
      <c r="D19" s="746"/>
      <c r="E19" s="170" t="s">
        <v>46</v>
      </c>
      <c r="F19" s="171">
        <v>34000</v>
      </c>
      <c r="G19" s="593" t="s">
        <v>30</v>
      </c>
    </row>
    <row r="20" spans="1:7" ht="21" customHeight="1">
      <c r="A20" s="245"/>
      <c r="B20" s="746"/>
      <c r="C20" s="746"/>
      <c r="D20" s="746"/>
      <c r="E20" s="170"/>
      <c r="F20" s="171"/>
      <c r="G20" s="593"/>
    </row>
    <row r="21" spans="1:7" ht="21" customHeight="1">
      <c r="A21" s="245"/>
      <c r="B21" s="746"/>
      <c r="C21" s="746"/>
      <c r="D21" s="746"/>
      <c r="E21" s="170"/>
      <c r="F21" s="171"/>
      <c r="G21" s="593"/>
    </row>
    <row r="22" spans="1:7" ht="21" customHeight="1">
      <c r="A22" s="245"/>
      <c r="B22" s="746"/>
      <c r="C22" s="746"/>
      <c r="D22" s="746"/>
      <c r="E22" s="170"/>
      <c r="F22" s="171"/>
      <c r="G22" s="593"/>
    </row>
    <row r="23" spans="1:7" ht="21" customHeight="1">
      <c r="A23" s="245"/>
      <c r="B23" s="522"/>
      <c r="C23" s="247"/>
      <c r="E23" s="170"/>
      <c r="F23" s="524"/>
      <c r="G23" s="593"/>
    </row>
    <row r="24" spans="1:7" ht="21" customHeight="1">
      <c r="A24" s="245"/>
      <c r="B24" s="747"/>
      <c r="C24" s="747"/>
      <c r="D24" s="747"/>
      <c r="E24" s="170"/>
      <c r="F24" s="526"/>
      <c r="G24" s="593"/>
    </row>
    <row r="25" spans="1:7" ht="21" customHeight="1">
      <c r="A25" s="245"/>
      <c r="B25" s="595"/>
      <c r="C25" s="253" t="s">
        <v>70</v>
      </c>
      <c r="D25" s="219"/>
      <c r="E25" s="590">
        <f>SUM(F17:F24)</f>
        <v>499900</v>
      </c>
      <c r="F25" s="171"/>
      <c r="G25" s="593"/>
    </row>
    <row r="26" spans="1:7" ht="21" customHeight="1">
      <c r="A26" s="711" t="s">
        <v>34</v>
      </c>
      <c r="B26" s="712"/>
      <c r="C26" s="741" t="s">
        <v>439</v>
      </c>
      <c r="D26" s="742"/>
      <c r="E26" s="743"/>
      <c r="F26" s="734" t="s">
        <v>440</v>
      </c>
      <c r="G26" s="735"/>
    </row>
    <row r="27" spans="1:7" ht="21" customHeight="1">
      <c r="A27" s="586"/>
      <c r="B27" s="588"/>
      <c r="C27" s="419"/>
      <c r="D27" s="254"/>
      <c r="E27" s="566"/>
      <c r="F27" s="592"/>
      <c r="G27" s="593"/>
    </row>
    <row r="28" spans="1:7" ht="21" customHeight="1">
      <c r="A28" s="586"/>
      <c r="B28" s="588"/>
      <c r="C28" s="419"/>
      <c r="D28" s="171"/>
      <c r="E28" s="591"/>
      <c r="F28" s="419"/>
      <c r="G28" s="593"/>
    </row>
    <row r="29" spans="1:7" ht="21" customHeight="1">
      <c r="A29" s="714" t="s">
        <v>441</v>
      </c>
      <c r="B29" s="715"/>
      <c r="C29" s="729" t="s">
        <v>562</v>
      </c>
      <c r="D29" s="736"/>
      <c r="E29" s="730"/>
      <c r="F29" s="729" t="s">
        <v>441</v>
      </c>
      <c r="G29" s="730"/>
    </row>
    <row r="30" spans="1:7" ht="21" customHeight="1">
      <c r="A30" s="716" t="s">
        <v>442</v>
      </c>
      <c r="B30" s="717"/>
      <c r="C30" s="738" t="s">
        <v>563</v>
      </c>
      <c r="D30" s="739"/>
      <c r="E30" s="740"/>
      <c r="F30" s="731" t="s">
        <v>442</v>
      </c>
      <c r="G30" s="732"/>
    </row>
    <row r="43" spans="6:7" ht="21" customHeight="1">
      <c r="F43" s="737" t="s">
        <v>663</v>
      </c>
      <c r="G43" s="737"/>
    </row>
    <row r="44" spans="5:7" ht="21" customHeight="1">
      <c r="E44" s="704" t="s">
        <v>662</v>
      </c>
      <c r="F44" s="704"/>
      <c r="G44" s="704"/>
    </row>
    <row r="45" spans="1:7" ht="21" customHeight="1">
      <c r="A45" s="702" t="s">
        <v>89</v>
      </c>
      <c r="B45" s="702"/>
      <c r="C45" s="702"/>
      <c r="D45" s="702"/>
      <c r="E45" s="702"/>
      <c r="F45" s="702"/>
      <c r="G45" s="702"/>
    </row>
    <row r="46" spans="1:4" ht="21" customHeight="1" thickBot="1">
      <c r="A46" s="174" t="s">
        <v>120</v>
      </c>
      <c r="B46" s="174"/>
      <c r="C46" s="174"/>
      <c r="D46" s="223"/>
    </row>
    <row r="47" spans="1:7" ht="21" customHeight="1" thickBot="1">
      <c r="A47" s="727" t="s">
        <v>52</v>
      </c>
      <c r="B47" s="744"/>
      <c r="C47" s="744"/>
      <c r="D47" s="745"/>
      <c r="E47" s="538" t="s">
        <v>47</v>
      </c>
      <c r="F47" s="225" t="s">
        <v>9</v>
      </c>
      <c r="G47" s="226" t="s">
        <v>10</v>
      </c>
    </row>
    <row r="48" spans="1:7" ht="21" customHeight="1">
      <c r="A48" s="185" t="s">
        <v>109</v>
      </c>
      <c r="B48" s="186"/>
      <c r="C48" s="186"/>
      <c r="D48" s="186"/>
      <c r="E48" s="539" t="s">
        <v>236</v>
      </c>
      <c r="F48" s="227">
        <v>0</v>
      </c>
      <c r="G48" s="228"/>
    </row>
    <row r="49" spans="1:7" ht="21" customHeight="1">
      <c r="A49" s="185"/>
      <c r="B49" s="186" t="s">
        <v>110</v>
      </c>
      <c r="C49" s="186"/>
      <c r="E49" s="540" t="s">
        <v>235</v>
      </c>
      <c r="F49" s="230"/>
      <c r="G49" s="231">
        <v>0</v>
      </c>
    </row>
    <row r="50" spans="1:7" ht="21" customHeight="1">
      <c r="A50" s="232"/>
      <c r="B50" s="233"/>
      <c r="C50" s="233"/>
      <c r="D50" s="233"/>
      <c r="E50" s="540"/>
      <c r="F50" s="230"/>
      <c r="G50" s="231"/>
    </row>
    <row r="51" spans="1:7" ht="21" customHeight="1">
      <c r="A51" s="232"/>
      <c r="B51" s="233"/>
      <c r="C51" s="233"/>
      <c r="D51" s="233"/>
      <c r="E51" s="540"/>
      <c r="F51" s="230"/>
      <c r="G51" s="231"/>
    </row>
    <row r="52" spans="1:7" ht="21" customHeight="1">
      <c r="A52" s="232"/>
      <c r="B52" s="233"/>
      <c r="C52" s="233"/>
      <c r="D52" s="233"/>
      <c r="E52" s="540"/>
      <c r="F52" s="234"/>
      <c r="G52" s="231"/>
    </row>
    <row r="53" spans="1:7" ht="21" customHeight="1" thickBot="1">
      <c r="A53" s="235"/>
      <c r="B53" s="236"/>
      <c r="C53" s="236"/>
      <c r="D53" s="237"/>
      <c r="E53" s="541"/>
      <c r="F53" s="238">
        <f>SUM(F48:F49)</f>
        <v>0</v>
      </c>
      <c r="G53" s="239">
        <f>SUM(G49:G49)</f>
        <v>0</v>
      </c>
    </row>
    <row r="54" spans="1:7" ht="21" customHeight="1" thickTop="1">
      <c r="A54" s="217" t="s">
        <v>90</v>
      </c>
      <c r="B54" s="240" t="s">
        <v>123</v>
      </c>
      <c r="C54" s="241"/>
      <c r="D54" s="242"/>
      <c r="E54" s="524"/>
      <c r="F54" s="171"/>
      <c r="G54" s="596"/>
    </row>
    <row r="55" spans="1:7" ht="21" customHeight="1">
      <c r="A55" s="244"/>
      <c r="B55" s="240" t="s">
        <v>167</v>
      </c>
      <c r="C55" s="241"/>
      <c r="D55" s="242"/>
      <c r="E55" s="524"/>
      <c r="F55" s="171"/>
      <c r="G55" s="593"/>
    </row>
    <row r="56" spans="1:7" ht="21" customHeight="1">
      <c r="A56" s="245">
        <v>1</v>
      </c>
      <c r="B56" s="240" t="s">
        <v>665</v>
      </c>
      <c r="C56" s="638"/>
      <c r="D56" s="246"/>
      <c r="E56" s="170" t="s">
        <v>46</v>
      </c>
      <c r="F56" s="524">
        <v>3248860.5</v>
      </c>
      <c r="G56" s="593" t="s">
        <v>30</v>
      </c>
    </row>
    <row r="57" spans="1:7" ht="21" customHeight="1">
      <c r="A57" s="245">
        <v>2</v>
      </c>
      <c r="B57" s="240" t="s">
        <v>666</v>
      </c>
      <c r="C57" s="638"/>
      <c r="D57" s="246"/>
      <c r="E57" s="170" t="s">
        <v>46</v>
      </c>
      <c r="F57" s="524">
        <v>1151400</v>
      </c>
      <c r="G57" s="593" t="s">
        <v>30</v>
      </c>
    </row>
    <row r="58" spans="1:7" ht="21" customHeight="1">
      <c r="A58" s="245">
        <v>3</v>
      </c>
      <c r="B58" s="240" t="s">
        <v>667</v>
      </c>
      <c r="C58" s="638"/>
      <c r="D58" s="246"/>
      <c r="E58" s="170" t="s">
        <v>46</v>
      </c>
      <c r="F58" s="524">
        <v>254400</v>
      </c>
      <c r="G58" s="593" t="s">
        <v>30</v>
      </c>
    </row>
    <row r="59" spans="1:7" ht="21" customHeight="1">
      <c r="A59" s="245">
        <v>4</v>
      </c>
      <c r="B59" s="522" t="s">
        <v>549</v>
      </c>
      <c r="C59" s="637"/>
      <c r="D59" s="246"/>
      <c r="E59" s="170" t="s">
        <v>46</v>
      </c>
      <c r="F59" s="526">
        <f>153610.45+107479.82</f>
        <v>261090.27000000002</v>
      </c>
      <c r="G59" s="593" t="s">
        <v>30</v>
      </c>
    </row>
    <row r="60" spans="1:7" ht="21" customHeight="1">
      <c r="A60" s="245">
        <v>5</v>
      </c>
      <c r="B60" s="528" t="s">
        <v>390</v>
      </c>
      <c r="C60" s="246"/>
      <c r="D60" s="246"/>
      <c r="E60" s="170" t="s">
        <v>46</v>
      </c>
      <c r="F60" s="524">
        <f>171477.61+237464.95</f>
        <v>408942.56</v>
      </c>
      <c r="G60" s="593" t="s">
        <v>30</v>
      </c>
    </row>
    <row r="61" spans="1:7" ht="21" customHeight="1">
      <c r="A61" s="245">
        <v>6</v>
      </c>
      <c r="B61" s="627" t="s">
        <v>633</v>
      </c>
      <c r="E61" s="170" t="s">
        <v>46</v>
      </c>
      <c r="F61" s="2">
        <f>58.2</f>
        <v>58.2</v>
      </c>
      <c r="G61" s="593" t="s">
        <v>30</v>
      </c>
    </row>
    <row r="62" spans="1:7" ht="21" customHeight="1">
      <c r="A62" s="245">
        <v>7</v>
      </c>
      <c r="B62" s="522" t="s">
        <v>668</v>
      </c>
      <c r="C62" s="246"/>
      <c r="D62" s="246"/>
      <c r="E62" s="170" t="s">
        <v>46</v>
      </c>
      <c r="F62" s="526">
        <v>10432.95</v>
      </c>
      <c r="G62" s="593" t="s">
        <v>30</v>
      </c>
    </row>
    <row r="63" spans="1:7" ht="21" customHeight="1">
      <c r="A63" s="245">
        <v>8</v>
      </c>
      <c r="B63" s="159" t="s">
        <v>383</v>
      </c>
      <c r="C63" s="638"/>
      <c r="D63" s="638"/>
      <c r="E63" s="170" t="s">
        <v>46</v>
      </c>
      <c r="F63" s="526">
        <f>5283.61+6944.27</f>
        <v>12227.880000000001</v>
      </c>
      <c r="G63" s="593" t="s">
        <v>30</v>
      </c>
    </row>
    <row r="64" spans="1:7" ht="21" customHeight="1">
      <c r="A64" s="245">
        <v>9</v>
      </c>
      <c r="B64" s="1" t="s">
        <v>569</v>
      </c>
      <c r="C64" s="246"/>
      <c r="D64" s="528"/>
      <c r="E64" s="170" t="s">
        <v>46</v>
      </c>
      <c r="F64" s="526">
        <v>12455</v>
      </c>
      <c r="G64" s="593" t="s">
        <v>30</v>
      </c>
    </row>
    <row r="65" spans="1:7" ht="21" customHeight="1">
      <c r="A65" s="245">
        <v>10</v>
      </c>
      <c r="B65" s="1" t="s">
        <v>570</v>
      </c>
      <c r="D65" s="528"/>
      <c r="E65" s="170" t="s">
        <v>46</v>
      </c>
      <c r="F65" s="526">
        <v>31300</v>
      </c>
      <c r="G65" s="593" t="s">
        <v>30</v>
      </c>
    </row>
    <row r="66" spans="1:7" ht="21" customHeight="1">
      <c r="A66" s="245">
        <v>11</v>
      </c>
      <c r="B66" s="1" t="s">
        <v>571</v>
      </c>
      <c r="C66" s="159"/>
      <c r="E66" s="170" t="s">
        <v>46</v>
      </c>
      <c r="F66" s="526">
        <v>314691</v>
      </c>
      <c r="G66" s="593" t="s">
        <v>30</v>
      </c>
    </row>
    <row r="67" spans="1:7" ht="21" customHeight="1">
      <c r="A67" s="245">
        <v>12</v>
      </c>
      <c r="B67" s="159" t="s">
        <v>572</v>
      </c>
      <c r="C67" s="246"/>
      <c r="E67" s="170" t="s">
        <v>46</v>
      </c>
      <c r="F67" s="526">
        <v>666480</v>
      </c>
      <c r="G67" s="593" t="s">
        <v>30</v>
      </c>
    </row>
    <row r="68" spans="1:7" ht="21" customHeight="1">
      <c r="A68" s="245">
        <v>13</v>
      </c>
      <c r="B68" s="159" t="s">
        <v>543</v>
      </c>
      <c r="C68" s="246"/>
      <c r="E68" s="170" t="s">
        <v>46</v>
      </c>
      <c r="F68" s="526">
        <v>307200</v>
      </c>
      <c r="G68" s="593" t="s">
        <v>30</v>
      </c>
    </row>
    <row r="69" spans="1:7" ht="21" customHeight="1">
      <c r="A69" s="245">
        <v>14</v>
      </c>
      <c r="B69" s="746" t="s">
        <v>669</v>
      </c>
      <c r="C69" s="746"/>
      <c r="D69" s="746"/>
      <c r="E69" s="170" t="s">
        <v>46</v>
      </c>
      <c r="F69" s="526">
        <v>43500</v>
      </c>
      <c r="G69" s="593" t="s">
        <v>30</v>
      </c>
    </row>
    <row r="70" spans="1:7" ht="21" customHeight="1">
      <c r="A70" s="245">
        <v>15</v>
      </c>
      <c r="B70" s="240" t="s">
        <v>632</v>
      </c>
      <c r="C70" s="638"/>
      <c r="D70" s="246"/>
      <c r="E70" s="170" t="s">
        <v>46</v>
      </c>
      <c r="F70" s="524">
        <v>12568</v>
      </c>
      <c r="G70" s="593" t="s">
        <v>30</v>
      </c>
    </row>
    <row r="71" spans="1:7" ht="21" customHeight="1">
      <c r="A71" s="245">
        <v>16</v>
      </c>
      <c r="B71" s="246" t="s">
        <v>659</v>
      </c>
      <c r="E71" s="170" t="s">
        <v>46</v>
      </c>
      <c r="F71" s="526">
        <v>525</v>
      </c>
      <c r="G71" s="593" t="s">
        <v>30</v>
      </c>
    </row>
    <row r="72" spans="1:7" ht="21" customHeight="1">
      <c r="A72" s="245">
        <v>17</v>
      </c>
      <c r="B72" s="746" t="s">
        <v>660</v>
      </c>
      <c r="C72" s="746"/>
      <c r="D72" s="746"/>
      <c r="E72" s="170" t="s">
        <v>46</v>
      </c>
      <c r="F72" s="526">
        <v>5250</v>
      </c>
      <c r="G72" s="593" t="s">
        <v>30</v>
      </c>
    </row>
    <row r="73" spans="1:7" ht="21" customHeight="1">
      <c r="A73" s="245">
        <v>18</v>
      </c>
      <c r="B73" s="527" t="s">
        <v>430</v>
      </c>
      <c r="C73" s="527"/>
      <c r="D73" s="529"/>
      <c r="E73" s="170" t="s">
        <v>46</v>
      </c>
      <c r="F73" s="526">
        <v>23889.75</v>
      </c>
      <c r="G73" s="593" t="s">
        <v>30</v>
      </c>
    </row>
    <row r="74" spans="1:7" ht="21" customHeight="1">
      <c r="A74" s="245">
        <v>19</v>
      </c>
      <c r="B74" s="240" t="s">
        <v>550</v>
      </c>
      <c r="C74" s="246"/>
      <c r="D74" s="246"/>
      <c r="E74" s="170" t="s">
        <v>46</v>
      </c>
      <c r="F74" s="526">
        <v>58839.25</v>
      </c>
      <c r="G74" s="593" t="s">
        <v>30</v>
      </c>
    </row>
    <row r="75" spans="1:7" ht="21" customHeight="1">
      <c r="A75" s="245">
        <v>20</v>
      </c>
      <c r="B75" s="1" t="s">
        <v>546</v>
      </c>
      <c r="E75" s="170" t="s">
        <v>46</v>
      </c>
      <c r="F75" s="526">
        <v>1269317.91</v>
      </c>
      <c r="G75" s="593" t="s">
        <v>30</v>
      </c>
    </row>
    <row r="76" spans="1:7" ht="21" customHeight="1">
      <c r="A76" s="245">
        <v>21</v>
      </c>
      <c r="B76" s="246" t="s">
        <v>670</v>
      </c>
      <c r="C76" s="246"/>
      <c r="D76" s="246"/>
      <c r="E76" s="170" t="s">
        <v>46</v>
      </c>
      <c r="F76" s="526">
        <v>4629.99</v>
      </c>
      <c r="G76" s="593" t="s">
        <v>30</v>
      </c>
    </row>
    <row r="77" spans="1:7" ht="21" customHeight="1">
      <c r="A77" s="245"/>
      <c r="B77" s="246"/>
      <c r="C77" s="253" t="s">
        <v>70</v>
      </c>
      <c r="D77" s="219"/>
      <c r="E77" s="590">
        <f>SUM(F56:F76)</f>
        <v>8098058.26</v>
      </c>
      <c r="F77" s="171"/>
      <c r="G77" s="594"/>
    </row>
    <row r="78" spans="1:7" ht="21" customHeight="1">
      <c r="A78" s="711" t="s">
        <v>34</v>
      </c>
      <c r="B78" s="712"/>
      <c r="C78" s="741" t="s">
        <v>439</v>
      </c>
      <c r="D78" s="742"/>
      <c r="E78" s="743"/>
      <c r="F78" s="734" t="s">
        <v>440</v>
      </c>
      <c r="G78" s="735"/>
    </row>
    <row r="79" spans="1:7" ht="21" customHeight="1">
      <c r="A79" s="586"/>
      <c r="B79" s="588"/>
      <c r="C79" s="419"/>
      <c r="D79" s="254"/>
      <c r="E79" s="566"/>
      <c r="F79" s="592"/>
      <c r="G79" s="593"/>
    </row>
    <row r="80" spans="1:7" ht="21" customHeight="1">
      <c r="A80" s="586"/>
      <c r="B80" s="588"/>
      <c r="C80" s="419"/>
      <c r="D80" s="171"/>
      <c r="E80" s="591"/>
      <c r="F80" s="419"/>
      <c r="G80" s="593"/>
    </row>
    <row r="81" spans="1:7" ht="21" customHeight="1">
      <c r="A81" s="714" t="s">
        <v>441</v>
      </c>
      <c r="B81" s="715"/>
      <c r="C81" s="729" t="s">
        <v>562</v>
      </c>
      <c r="D81" s="736"/>
      <c r="E81" s="730"/>
      <c r="F81" s="729" t="s">
        <v>441</v>
      </c>
      <c r="G81" s="730"/>
    </row>
    <row r="82" spans="1:7" ht="21" customHeight="1">
      <c r="A82" s="716" t="s">
        <v>442</v>
      </c>
      <c r="B82" s="717"/>
      <c r="C82" s="738" t="s">
        <v>563</v>
      </c>
      <c r="D82" s="739"/>
      <c r="E82" s="740"/>
      <c r="F82" s="731" t="s">
        <v>442</v>
      </c>
      <c r="G82" s="732"/>
    </row>
    <row r="83" spans="1:7" ht="21" customHeight="1">
      <c r="A83" s="169"/>
      <c r="B83" s="169"/>
      <c r="C83" s="407"/>
      <c r="D83" s="407"/>
      <c r="E83" s="407"/>
      <c r="F83" s="170"/>
      <c r="G83" s="170"/>
    </row>
    <row r="86" spans="6:8" ht="21" customHeight="1">
      <c r="F86" s="737" t="s">
        <v>653</v>
      </c>
      <c r="G86" s="737"/>
      <c r="H86" s="1"/>
    </row>
    <row r="87" spans="5:8" ht="21" customHeight="1">
      <c r="E87" s="704" t="s">
        <v>650</v>
      </c>
      <c r="F87" s="704"/>
      <c r="G87" s="704"/>
      <c r="H87" s="1"/>
    </row>
    <row r="88" spans="1:8" ht="21" customHeight="1">
      <c r="A88" s="702" t="s">
        <v>89</v>
      </c>
      <c r="B88" s="702"/>
      <c r="C88" s="702"/>
      <c r="D88" s="702"/>
      <c r="E88" s="702"/>
      <c r="F88" s="702"/>
      <c r="G88" s="702"/>
      <c r="H88" s="1"/>
    </row>
    <row r="89" spans="1:8" ht="21" customHeight="1" thickBot="1">
      <c r="A89" s="174" t="s">
        <v>120</v>
      </c>
      <c r="B89" s="174"/>
      <c r="C89" s="174"/>
      <c r="D89" s="223"/>
      <c r="H89" s="1"/>
    </row>
    <row r="90" spans="1:8" ht="21" customHeight="1" thickBot="1">
      <c r="A90" s="727" t="s">
        <v>52</v>
      </c>
      <c r="B90" s="744"/>
      <c r="C90" s="744"/>
      <c r="D90" s="745"/>
      <c r="E90" s="538" t="s">
        <v>47</v>
      </c>
      <c r="F90" s="225" t="s">
        <v>9</v>
      </c>
      <c r="G90" s="226" t="s">
        <v>10</v>
      </c>
      <c r="H90" s="1"/>
    </row>
    <row r="91" spans="1:8" ht="21" customHeight="1">
      <c r="A91" s="186" t="s">
        <v>651</v>
      </c>
      <c r="B91" s="186"/>
      <c r="C91" s="186"/>
      <c r="D91" s="186"/>
      <c r="E91" s="540" t="s">
        <v>600</v>
      </c>
      <c r="F91" s="227">
        <v>500000</v>
      </c>
      <c r="G91" s="228"/>
      <c r="H91" s="1"/>
    </row>
    <row r="92" spans="1:8" ht="21" customHeight="1">
      <c r="A92" s="185"/>
      <c r="B92" s="186" t="s">
        <v>109</v>
      </c>
      <c r="C92" s="186"/>
      <c r="E92" s="399"/>
      <c r="F92" s="230"/>
      <c r="G92" s="231">
        <v>500000</v>
      </c>
      <c r="H92" s="1"/>
    </row>
    <row r="93" spans="1:8" ht="21" customHeight="1">
      <c r="A93" s="232"/>
      <c r="C93" s="233"/>
      <c r="D93" s="233"/>
      <c r="E93" s="540"/>
      <c r="F93" s="230"/>
      <c r="G93" s="231"/>
      <c r="H93" s="1"/>
    </row>
    <row r="94" spans="1:8" ht="21" customHeight="1">
      <c r="A94" s="232"/>
      <c r="B94" s="233"/>
      <c r="C94" s="233"/>
      <c r="D94" s="233"/>
      <c r="E94" s="540"/>
      <c r="F94" s="230"/>
      <c r="G94" s="231"/>
      <c r="H94" s="1"/>
    </row>
    <row r="95" spans="1:8" ht="21" customHeight="1">
      <c r="A95" s="232"/>
      <c r="B95" s="233"/>
      <c r="C95" s="233"/>
      <c r="D95" s="233"/>
      <c r="E95" s="540"/>
      <c r="F95" s="230"/>
      <c r="G95" s="231"/>
      <c r="H95" s="1"/>
    </row>
    <row r="96" spans="1:8" ht="21" customHeight="1">
      <c r="A96" s="232"/>
      <c r="B96" s="233"/>
      <c r="C96" s="233"/>
      <c r="D96" s="233"/>
      <c r="E96" s="540"/>
      <c r="F96" s="230"/>
      <c r="G96" s="231"/>
      <c r="H96" s="1"/>
    </row>
    <row r="97" spans="1:8" ht="21" customHeight="1">
      <c r="A97" s="232"/>
      <c r="B97" s="233"/>
      <c r="C97" s="233"/>
      <c r="D97" s="233"/>
      <c r="E97" s="540"/>
      <c r="F97" s="234"/>
      <c r="G97" s="231"/>
      <c r="H97" s="1"/>
    </row>
    <row r="98" spans="1:8" ht="21" customHeight="1">
      <c r="A98" s="232"/>
      <c r="B98" s="233"/>
      <c r="C98" s="233"/>
      <c r="D98" s="233"/>
      <c r="E98" s="540"/>
      <c r="F98" s="234"/>
      <c r="G98" s="231"/>
      <c r="H98" s="1"/>
    </row>
    <row r="99" spans="1:8" ht="21" customHeight="1" thickBot="1">
      <c r="A99" s="235"/>
      <c r="B99" s="236"/>
      <c r="C99" s="236"/>
      <c r="D99" s="237"/>
      <c r="E99" s="541"/>
      <c r="F99" s="238">
        <f>SUM(F91:F93)</f>
        <v>500000</v>
      </c>
      <c r="G99" s="238">
        <f>SUM(G91:G94)</f>
        <v>500000</v>
      </c>
      <c r="H99" s="1"/>
    </row>
    <row r="100" spans="1:8" ht="21" customHeight="1" thickTop="1">
      <c r="A100" s="217" t="s">
        <v>90</v>
      </c>
      <c r="B100" s="240" t="s">
        <v>652</v>
      </c>
      <c r="C100" s="241"/>
      <c r="D100" s="242"/>
      <c r="E100" s="524"/>
      <c r="F100" s="171"/>
      <c r="G100" s="530"/>
      <c r="H100" s="1"/>
    </row>
    <row r="101" spans="1:8" ht="21" customHeight="1">
      <c r="A101" s="217"/>
      <c r="B101" s="240"/>
      <c r="C101" s="241"/>
      <c r="D101" s="242"/>
      <c r="E101" s="524"/>
      <c r="F101" s="171"/>
      <c r="G101" s="243"/>
      <c r="H101" s="1"/>
    </row>
    <row r="102" spans="1:8" ht="21" customHeight="1">
      <c r="A102" s="217"/>
      <c r="B102" s="240"/>
      <c r="C102" s="241"/>
      <c r="D102" s="242"/>
      <c r="E102" s="524"/>
      <c r="F102" s="171"/>
      <c r="G102" s="243"/>
      <c r="H102" s="1"/>
    </row>
    <row r="103" spans="1:8" ht="21" customHeight="1">
      <c r="A103" s="217"/>
      <c r="B103" s="240"/>
      <c r="C103" s="241"/>
      <c r="D103" s="242"/>
      <c r="E103" s="524"/>
      <c r="F103" s="171"/>
      <c r="G103" s="243"/>
      <c r="H103" s="1"/>
    </row>
    <row r="104" spans="1:8" ht="21" customHeight="1">
      <c r="A104" s="217"/>
      <c r="B104" s="240"/>
      <c r="C104" s="241"/>
      <c r="D104" s="242"/>
      <c r="E104" s="524"/>
      <c r="F104" s="171"/>
      <c r="G104" s="243"/>
      <c r="H104" s="1"/>
    </row>
    <row r="105" spans="1:8" ht="21" customHeight="1">
      <c r="A105" s="217"/>
      <c r="B105" s="240"/>
      <c r="C105" s="241"/>
      <c r="D105" s="242"/>
      <c r="E105" s="524"/>
      <c r="F105" s="171"/>
      <c r="G105" s="243"/>
      <c r="H105" s="1"/>
    </row>
    <row r="106" spans="1:8" ht="21" customHeight="1">
      <c r="A106" s="244"/>
      <c r="B106" s="240"/>
      <c r="C106" s="241"/>
      <c r="D106" s="242"/>
      <c r="E106" s="524"/>
      <c r="F106" s="171"/>
      <c r="G106" s="243"/>
      <c r="H106" s="1"/>
    </row>
    <row r="107" spans="1:8" ht="21" customHeight="1">
      <c r="A107" s="245"/>
      <c r="B107" s="528"/>
      <c r="C107" s="528"/>
      <c r="D107" s="170"/>
      <c r="E107" s="524"/>
      <c r="F107" s="171"/>
      <c r="G107" s="243"/>
      <c r="H107" s="1"/>
    </row>
    <row r="108" spans="1:8" ht="21" customHeight="1">
      <c r="A108" s="245"/>
      <c r="B108" s="246"/>
      <c r="C108" s="246"/>
      <c r="D108" s="170"/>
      <c r="E108" s="524"/>
      <c r="F108" s="171"/>
      <c r="G108" s="243"/>
      <c r="H108" s="1"/>
    </row>
    <row r="109" spans="1:8" ht="21" customHeight="1">
      <c r="A109" s="245"/>
      <c r="B109" s="240"/>
      <c r="C109" s="247"/>
      <c r="D109" s="170"/>
      <c r="E109" s="526"/>
      <c r="F109" s="171"/>
      <c r="G109" s="243"/>
      <c r="H109" s="1"/>
    </row>
    <row r="110" spans="1:8" ht="21" customHeight="1">
      <c r="A110" s="245"/>
      <c r="B110" s="240"/>
      <c r="C110" s="249"/>
      <c r="D110" s="170"/>
      <c r="E110" s="524"/>
      <c r="F110" s="171"/>
      <c r="G110" s="243"/>
      <c r="H110" s="1"/>
    </row>
    <row r="111" spans="4:8" ht="21" customHeight="1">
      <c r="D111" s="1"/>
      <c r="E111" s="1"/>
      <c r="F111" s="1"/>
      <c r="G111" s="1"/>
      <c r="H111" s="1"/>
    </row>
    <row r="112" spans="4:8" ht="21" customHeight="1">
      <c r="D112" s="1"/>
      <c r="E112" s="1"/>
      <c r="F112" s="1"/>
      <c r="G112" s="1"/>
      <c r="H112" s="1"/>
    </row>
    <row r="113" spans="4:8" ht="21" customHeight="1">
      <c r="D113" s="1"/>
      <c r="E113" s="1"/>
      <c r="F113" s="1"/>
      <c r="G113" s="1"/>
      <c r="H113" s="1"/>
    </row>
    <row r="114" spans="4:8" ht="21" customHeight="1">
      <c r="D114" s="1"/>
      <c r="E114" s="1"/>
      <c r="F114" s="1"/>
      <c r="G114" s="1"/>
      <c r="H114" s="1"/>
    </row>
    <row r="115" spans="4:8" ht="21" customHeight="1">
      <c r="D115" s="1"/>
      <c r="E115" s="1"/>
      <c r="F115" s="1"/>
      <c r="G115" s="1"/>
      <c r="H115" s="1"/>
    </row>
    <row r="116" spans="1:8" ht="21" customHeight="1">
      <c r="A116" s="711" t="s">
        <v>34</v>
      </c>
      <c r="B116" s="712"/>
      <c r="C116" s="741" t="s">
        <v>439</v>
      </c>
      <c r="D116" s="742"/>
      <c r="E116" s="743"/>
      <c r="F116" s="734" t="s">
        <v>440</v>
      </c>
      <c r="G116" s="735"/>
      <c r="H116" s="1"/>
    </row>
    <row r="117" spans="1:8" ht="21" customHeight="1">
      <c r="A117" s="586"/>
      <c r="B117" s="588"/>
      <c r="C117" s="419"/>
      <c r="D117" s="254"/>
      <c r="E117" s="566"/>
      <c r="F117" s="592"/>
      <c r="G117" s="593"/>
      <c r="H117" s="1"/>
    </row>
    <row r="118" spans="1:8" ht="21" customHeight="1">
      <c r="A118" s="586"/>
      <c r="B118" s="588"/>
      <c r="C118" s="419"/>
      <c r="D118" s="171"/>
      <c r="E118" s="591"/>
      <c r="F118" s="419"/>
      <c r="G118" s="593"/>
      <c r="H118" s="1"/>
    </row>
    <row r="119" spans="1:8" ht="21" customHeight="1">
      <c r="A119" s="714" t="s">
        <v>441</v>
      </c>
      <c r="B119" s="715"/>
      <c r="C119" s="729" t="s">
        <v>564</v>
      </c>
      <c r="D119" s="736"/>
      <c r="E119" s="730"/>
      <c r="F119" s="729" t="s">
        <v>441</v>
      </c>
      <c r="G119" s="730"/>
      <c r="H119" s="1"/>
    </row>
    <row r="120" spans="1:8" ht="21" customHeight="1">
      <c r="A120" s="716" t="s">
        <v>442</v>
      </c>
      <c r="B120" s="717"/>
      <c r="C120" s="738" t="s">
        <v>563</v>
      </c>
      <c r="D120" s="739"/>
      <c r="E120" s="740"/>
      <c r="F120" s="731" t="s">
        <v>442</v>
      </c>
      <c r="G120" s="732"/>
      <c r="H120" s="1"/>
    </row>
    <row r="121" spans="4:8" ht="21" customHeight="1">
      <c r="D121" s="1"/>
      <c r="E121" s="1"/>
      <c r="F121" s="1"/>
      <c r="G121" s="1"/>
      <c r="H121" s="1"/>
    </row>
    <row r="122" spans="4:8" ht="21" customHeight="1">
      <c r="D122" s="1"/>
      <c r="E122" s="1"/>
      <c r="F122" s="1"/>
      <c r="G122" s="1"/>
      <c r="H122" s="1"/>
    </row>
    <row r="123" spans="4:8" ht="21" customHeight="1">
      <c r="D123" s="1"/>
      <c r="E123" s="1"/>
      <c r="F123" s="1"/>
      <c r="G123" s="1"/>
      <c r="H123" s="1"/>
    </row>
    <row r="124" spans="4:8" ht="21" customHeight="1">
      <c r="D124" s="1"/>
      <c r="E124" s="1"/>
      <c r="F124" s="1"/>
      <c r="G124" s="1"/>
      <c r="H124" s="1"/>
    </row>
    <row r="125" spans="4:8" ht="21" customHeight="1">
      <c r="D125" s="1"/>
      <c r="E125" s="1"/>
      <c r="F125" s="1"/>
      <c r="G125" s="1"/>
      <c r="H125" s="1"/>
    </row>
    <row r="126" spans="4:8" ht="21" customHeight="1">
      <c r="D126" s="1"/>
      <c r="E126" s="1"/>
      <c r="F126" s="1"/>
      <c r="G126" s="1"/>
      <c r="H126" s="1"/>
    </row>
    <row r="127" spans="4:8" ht="21" customHeight="1">
      <c r="D127" s="1"/>
      <c r="E127" s="1"/>
      <c r="F127" s="1"/>
      <c r="G127" s="1"/>
      <c r="H127" s="1"/>
    </row>
    <row r="128" spans="6:7" ht="21" customHeight="1">
      <c r="F128" s="737" t="s">
        <v>505</v>
      </c>
      <c r="G128" s="737"/>
    </row>
    <row r="129" spans="5:7" ht="21" customHeight="1">
      <c r="E129" s="704" t="s">
        <v>575</v>
      </c>
      <c r="F129" s="704"/>
      <c r="G129" s="704"/>
    </row>
    <row r="130" spans="1:7" ht="21" customHeight="1">
      <c r="A130" s="702" t="s">
        <v>89</v>
      </c>
      <c r="B130" s="702"/>
      <c r="C130" s="702"/>
      <c r="D130" s="702"/>
      <c r="E130" s="702"/>
      <c r="F130" s="702"/>
      <c r="G130" s="702"/>
    </row>
    <row r="131" spans="1:4" ht="21" customHeight="1" thickBot="1">
      <c r="A131" s="174" t="s">
        <v>120</v>
      </c>
      <c r="B131" s="174"/>
      <c r="C131" s="174"/>
      <c r="D131" s="223"/>
    </row>
    <row r="132" spans="1:7" ht="21" customHeight="1" thickBot="1">
      <c r="A132" s="727" t="s">
        <v>52</v>
      </c>
      <c r="B132" s="744"/>
      <c r="C132" s="744"/>
      <c r="D132" s="745"/>
      <c r="E132" s="538" t="s">
        <v>47</v>
      </c>
      <c r="F132" s="225" t="s">
        <v>9</v>
      </c>
      <c r="G132" s="226" t="s">
        <v>10</v>
      </c>
    </row>
    <row r="133" spans="1:7" ht="21" customHeight="1">
      <c r="A133" s="186" t="s">
        <v>1</v>
      </c>
      <c r="B133" s="186"/>
      <c r="C133" s="186"/>
      <c r="D133" s="186"/>
      <c r="E133" s="539"/>
      <c r="F133" s="227">
        <v>3500</v>
      </c>
      <c r="G133" s="228"/>
    </row>
    <row r="134" spans="1:7" ht="21" customHeight="1">
      <c r="A134" s="185"/>
      <c r="B134" s="186" t="s">
        <v>350</v>
      </c>
      <c r="C134" s="186"/>
      <c r="E134" s="540"/>
      <c r="F134" s="230"/>
      <c r="G134" s="231">
        <f>SUM(F133:F133)</f>
        <v>3500</v>
      </c>
    </row>
    <row r="135" spans="1:7" ht="21" customHeight="1">
      <c r="A135" s="232"/>
      <c r="C135" s="233"/>
      <c r="D135" s="233"/>
      <c r="E135" s="540"/>
      <c r="F135" s="230"/>
      <c r="G135" s="231"/>
    </row>
    <row r="136" spans="1:7" ht="21" customHeight="1">
      <c r="A136" s="232"/>
      <c r="B136" s="233"/>
      <c r="C136" s="233"/>
      <c r="D136" s="233"/>
      <c r="E136" s="540"/>
      <c r="F136" s="230"/>
      <c r="G136" s="231"/>
    </row>
    <row r="137" spans="1:7" ht="21" customHeight="1">
      <c r="A137" s="232"/>
      <c r="B137" s="233"/>
      <c r="C137" s="233"/>
      <c r="D137" s="233"/>
      <c r="E137" s="540"/>
      <c r="F137" s="230"/>
      <c r="G137" s="231"/>
    </row>
    <row r="138" spans="1:7" ht="21" customHeight="1">
      <c r="A138" s="232"/>
      <c r="B138" s="233"/>
      <c r="C138" s="233"/>
      <c r="D138" s="233"/>
      <c r="E138" s="540"/>
      <c r="F138" s="230"/>
      <c r="G138" s="231"/>
    </row>
    <row r="139" spans="1:7" ht="21" customHeight="1">
      <c r="A139" s="232"/>
      <c r="B139" s="233"/>
      <c r="C139" s="233"/>
      <c r="D139" s="233"/>
      <c r="E139" s="540"/>
      <c r="F139" s="234"/>
      <c r="G139" s="231"/>
    </row>
    <row r="140" spans="1:7" ht="21" customHeight="1">
      <c r="A140" s="232"/>
      <c r="B140" s="233"/>
      <c r="C140" s="233"/>
      <c r="D140" s="233"/>
      <c r="E140" s="540"/>
      <c r="F140" s="234"/>
      <c r="G140" s="231"/>
    </row>
    <row r="141" spans="1:7" ht="21" customHeight="1" thickBot="1">
      <c r="A141" s="235"/>
      <c r="B141" s="236"/>
      <c r="C141" s="236"/>
      <c r="D141" s="237"/>
      <c r="E141" s="541"/>
      <c r="F141" s="238">
        <f>SUM(F133:F134)</f>
        <v>3500</v>
      </c>
      <c r="G141" s="239">
        <f>SUM(G134:G134)</f>
        <v>3500</v>
      </c>
    </row>
    <row r="142" spans="1:7" ht="21" customHeight="1" thickTop="1">
      <c r="A142" s="217" t="s">
        <v>90</v>
      </c>
      <c r="B142" s="240" t="s">
        <v>576</v>
      </c>
      <c r="C142" s="241"/>
      <c r="D142" s="242"/>
      <c r="E142" s="524"/>
      <c r="F142" s="171"/>
      <c r="G142" s="530"/>
    </row>
    <row r="143" spans="1:7" ht="21" customHeight="1">
      <c r="A143" s="244"/>
      <c r="B143" s="240"/>
      <c r="C143" s="241"/>
      <c r="D143" s="242"/>
      <c r="E143" s="524"/>
      <c r="F143" s="171"/>
      <c r="G143" s="243"/>
    </row>
    <row r="144" spans="1:7" ht="21" customHeight="1">
      <c r="A144" s="245"/>
      <c r="B144" s="528"/>
      <c r="C144" s="528"/>
      <c r="D144" s="170"/>
      <c r="E144" s="524"/>
      <c r="F144" s="171"/>
      <c r="G144" s="243"/>
    </row>
    <row r="145" spans="1:7" ht="21" customHeight="1">
      <c r="A145" s="245"/>
      <c r="B145" s="246"/>
      <c r="C145" s="246"/>
      <c r="D145" s="170"/>
      <c r="E145" s="524"/>
      <c r="F145" s="171"/>
      <c r="G145" s="243"/>
    </row>
    <row r="146" spans="1:7" ht="21" customHeight="1">
      <c r="A146" s="245"/>
      <c r="B146" s="240"/>
      <c r="C146" s="247"/>
      <c r="D146" s="170"/>
      <c r="E146" s="526"/>
      <c r="F146" s="171"/>
      <c r="G146" s="243"/>
    </row>
    <row r="147" spans="1:7" ht="21" customHeight="1">
      <c r="A147" s="245"/>
      <c r="B147" s="240"/>
      <c r="C147" s="249"/>
      <c r="D147" s="170"/>
      <c r="E147" s="524"/>
      <c r="F147" s="171"/>
      <c r="G147" s="243"/>
    </row>
    <row r="148" spans="1:7" ht="21" customHeight="1">
      <c r="A148" s="711" t="s">
        <v>34</v>
      </c>
      <c r="B148" s="712"/>
      <c r="C148" s="741" t="s">
        <v>439</v>
      </c>
      <c r="D148" s="742"/>
      <c r="E148" s="743"/>
      <c r="F148" s="734" t="s">
        <v>440</v>
      </c>
      <c r="G148" s="735"/>
    </row>
    <row r="149" spans="1:7" ht="21" customHeight="1">
      <c r="A149" s="586"/>
      <c r="B149" s="588"/>
      <c r="C149" s="419"/>
      <c r="D149" s="254"/>
      <c r="E149" s="566"/>
      <c r="F149" s="592"/>
      <c r="G149" s="593"/>
    </row>
    <row r="150" spans="1:7" ht="21" customHeight="1">
      <c r="A150" s="586"/>
      <c r="B150" s="588"/>
      <c r="C150" s="419"/>
      <c r="D150" s="171"/>
      <c r="E150" s="591"/>
      <c r="F150" s="419"/>
      <c r="G150" s="593"/>
    </row>
    <row r="151" spans="1:7" ht="21" customHeight="1">
      <c r="A151" s="714" t="s">
        <v>441</v>
      </c>
      <c r="B151" s="715"/>
      <c r="C151" s="729" t="s">
        <v>564</v>
      </c>
      <c r="D151" s="736"/>
      <c r="E151" s="730"/>
      <c r="F151" s="729" t="s">
        <v>441</v>
      </c>
      <c r="G151" s="730"/>
    </row>
    <row r="152" spans="1:7" ht="21" customHeight="1">
      <c r="A152" s="716" t="s">
        <v>442</v>
      </c>
      <c r="B152" s="717"/>
      <c r="C152" s="738" t="s">
        <v>563</v>
      </c>
      <c r="D152" s="739"/>
      <c r="E152" s="740"/>
      <c r="F152" s="731" t="s">
        <v>442</v>
      </c>
      <c r="G152" s="732"/>
    </row>
    <row r="153" spans="1:7" ht="21" customHeight="1">
      <c r="A153" s="628"/>
      <c r="B153" s="629"/>
      <c r="C153" s="629"/>
      <c r="D153" s="630"/>
      <c r="E153" s="631"/>
      <c r="F153" s="632"/>
      <c r="G153" s="632"/>
    </row>
    <row r="154" spans="1:7" ht="21" customHeight="1">
      <c r="A154" s="252"/>
      <c r="B154" s="595"/>
      <c r="C154" s="253"/>
      <c r="D154" s="219"/>
      <c r="E154" s="590"/>
      <c r="F154" s="171"/>
      <c r="G154" s="171"/>
    </row>
    <row r="155" spans="1:7" ht="21" customHeight="1">
      <c r="A155" s="252"/>
      <c r="B155" s="252"/>
      <c r="C155" s="240"/>
      <c r="D155" s="253"/>
      <c r="E155" s="542"/>
      <c r="F155" s="253"/>
      <c r="G155" s="171"/>
    </row>
    <row r="156" spans="1:7" ht="21" customHeight="1">
      <c r="A156" s="252"/>
      <c r="B156" s="252"/>
      <c r="C156" s="159"/>
      <c r="D156" s="171"/>
      <c r="E156" s="527"/>
      <c r="F156" s="159"/>
      <c r="G156" s="171"/>
    </row>
    <row r="157" spans="1:7" ht="21" customHeight="1">
      <c r="A157" s="252"/>
      <c r="B157" s="252"/>
      <c r="C157" s="159"/>
      <c r="D157" s="171"/>
      <c r="E157" s="718"/>
      <c r="F157" s="718"/>
      <c r="G157" s="171"/>
    </row>
    <row r="158" spans="1:7" ht="21" customHeight="1">
      <c r="A158" s="252"/>
      <c r="B158" s="252"/>
      <c r="C158" s="159"/>
      <c r="D158" s="718"/>
      <c r="E158" s="718"/>
      <c r="F158" s="718"/>
      <c r="G158" s="718"/>
    </row>
    <row r="159" spans="1:7" ht="21" customHeight="1">
      <c r="A159" s="252"/>
      <c r="B159" s="252"/>
      <c r="C159" s="159"/>
      <c r="D159" s="171"/>
      <c r="E159" s="525"/>
      <c r="F159" s="171"/>
      <c r="G159" s="171"/>
    </row>
    <row r="160" spans="1:7" ht="21" customHeight="1">
      <c r="A160" s="252"/>
      <c r="B160" s="252"/>
      <c r="C160" s="159"/>
      <c r="D160" s="171"/>
      <c r="E160" s="750"/>
      <c r="F160" s="750"/>
      <c r="G160" s="171"/>
    </row>
    <row r="161" spans="1:7" ht="21" customHeight="1">
      <c r="A161" s="252"/>
      <c r="B161" s="252"/>
      <c r="C161" s="159"/>
      <c r="D161" s="254"/>
      <c r="E161" s="525"/>
      <c r="F161" s="253"/>
      <c r="G161" s="171"/>
    </row>
    <row r="162" spans="1:7" ht="21" customHeight="1">
      <c r="A162" s="252"/>
      <c r="B162" s="252"/>
      <c r="C162" s="159"/>
      <c r="D162" s="171"/>
      <c r="E162" s="527"/>
      <c r="F162" s="159"/>
      <c r="G162" s="171"/>
    </row>
    <row r="163" spans="1:8" ht="21" customHeight="1">
      <c r="A163" s="252"/>
      <c r="B163" s="252"/>
      <c r="C163" s="255"/>
      <c r="D163" s="171"/>
      <c r="E163" s="750"/>
      <c r="F163" s="750"/>
      <c r="G163" s="750"/>
      <c r="H163" s="750"/>
    </row>
    <row r="164" spans="1:7" ht="21" customHeight="1">
      <c r="A164" s="252"/>
      <c r="B164" s="252"/>
      <c r="C164" s="240"/>
      <c r="D164" s="751"/>
      <c r="E164" s="751"/>
      <c r="F164" s="751"/>
      <c r="G164" s="751"/>
    </row>
    <row r="165" spans="4:8" ht="21" customHeight="1">
      <c r="D165" s="1"/>
      <c r="E165" s="1"/>
      <c r="F165" s="1"/>
      <c r="G165" s="1"/>
      <c r="H165" s="1"/>
    </row>
    <row r="166" spans="4:8" ht="21" customHeight="1">
      <c r="D166" s="1"/>
      <c r="E166" s="1"/>
      <c r="F166" s="1"/>
      <c r="G166" s="1"/>
      <c r="H166" s="1"/>
    </row>
    <row r="167" spans="4:8" ht="21" customHeight="1">
      <c r="D167" s="1"/>
      <c r="E167" s="1"/>
      <c r="F167" s="1"/>
      <c r="G167" s="1"/>
      <c r="H167" s="1"/>
    </row>
    <row r="168" spans="4:8" ht="21" customHeight="1">
      <c r="D168" s="1"/>
      <c r="E168" s="1"/>
      <c r="F168" s="1"/>
      <c r="G168" s="1"/>
      <c r="H168" s="1"/>
    </row>
    <row r="169" spans="1:8" ht="21" customHeight="1">
      <c r="A169" s="252"/>
      <c r="B169" s="252"/>
      <c r="C169" s="240"/>
      <c r="D169" s="172"/>
      <c r="E169" s="172"/>
      <c r="F169" s="172"/>
      <c r="G169" s="172"/>
      <c r="H169" s="1"/>
    </row>
    <row r="170" spans="6:8" ht="21" customHeight="1">
      <c r="F170" s="737" t="s">
        <v>630</v>
      </c>
      <c r="G170" s="737"/>
      <c r="H170" s="1"/>
    </row>
    <row r="171" spans="5:8" ht="21" customHeight="1">
      <c r="E171" s="704" t="s">
        <v>716</v>
      </c>
      <c r="F171" s="704"/>
      <c r="G171" s="704"/>
      <c r="H171" s="1"/>
    </row>
    <row r="172" spans="1:8" ht="21" customHeight="1">
      <c r="A172" s="702" t="s">
        <v>89</v>
      </c>
      <c r="B172" s="702"/>
      <c r="C172" s="702"/>
      <c r="D172" s="702"/>
      <c r="E172" s="702"/>
      <c r="F172" s="702"/>
      <c r="G172" s="702"/>
      <c r="H172" s="1"/>
    </row>
    <row r="173" spans="1:8" ht="21" customHeight="1" thickBot="1">
      <c r="A173" s="174" t="s">
        <v>120</v>
      </c>
      <c r="B173" s="174"/>
      <c r="C173" s="174"/>
      <c r="D173" s="223"/>
      <c r="H173" s="1"/>
    </row>
    <row r="174" spans="1:8" ht="21" customHeight="1" thickBot="1">
      <c r="A174" s="727" t="s">
        <v>52</v>
      </c>
      <c r="B174" s="744"/>
      <c r="C174" s="744"/>
      <c r="D174" s="745"/>
      <c r="E174" s="538" t="s">
        <v>47</v>
      </c>
      <c r="F174" s="225" t="s">
        <v>9</v>
      </c>
      <c r="G174" s="226" t="s">
        <v>10</v>
      </c>
      <c r="H174" s="1"/>
    </row>
    <row r="175" spans="1:8" ht="21" customHeight="1">
      <c r="A175" s="185" t="s">
        <v>303</v>
      </c>
      <c r="B175" s="186"/>
      <c r="C175" s="186"/>
      <c r="D175" s="186"/>
      <c r="E175" s="539" t="s">
        <v>717</v>
      </c>
      <c r="F175" s="227">
        <v>87572</v>
      </c>
      <c r="G175" s="228"/>
      <c r="H175" s="1"/>
    </row>
    <row r="176" spans="1:8" ht="21" customHeight="1">
      <c r="A176" s="195"/>
      <c r="B176" s="207"/>
      <c r="C176" s="186"/>
      <c r="D176" s="552"/>
      <c r="E176" s="540"/>
      <c r="F176" s="230"/>
      <c r="G176" s="231"/>
      <c r="H176" s="1"/>
    </row>
    <row r="177" spans="1:8" ht="21" customHeight="1">
      <c r="A177" s="232"/>
      <c r="B177" s="186" t="s">
        <v>304</v>
      </c>
      <c r="C177" s="186"/>
      <c r="E177" s="540" t="s">
        <v>718</v>
      </c>
      <c r="F177" s="230"/>
      <c r="G177" s="231">
        <v>87572</v>
      </c>
      <c r="H177" s="1"/>
    </row>
    <row r="178" spans="1:8" ht="21" customHeight="1">
      <c r="A178" s="232"/>
      <c r="B178" s="233"/>
      <c r="C178" s="233"/>
      <c r="D178" s="233"/>
      <c r="E178" s="540"/>
      <c r="F178" s="230"/>
      <c r="G178" s="231"/>
      <c r="H178" s="1"/>
    </row>
    <row r="179" spans="1:8" ht="21" customHeight="1">
      <c r="A179" s="232"/>
      <c r="B179" s="233"/>
      <c r="C179" s="233"/>
      <c r="D179" s="233"/>
      <c r="E179" s="540"/>
      <c r="F179" s="230"/>
      <c r="G179" s="231"/>
      <c r="H179" s="1"/>
    </row>
    <row r="180" spans="1:8" ht="21" customHeight="1">
      <c r="A180" s="232"/>
      <c r="B180" s="233"/>
      <c r="C180" s="233"/>
      <c r="D180" s="233"/>
      <c r="E180" s="540"/>
      <c r="F180" s="234"/>
      <c r="G180" s="231"/>
      <c r="H180" s="1"/>
    </row>
    <row r="181" spans="1:8" ht="21" customHeight="1">
      <c r="A181" s="232"/>
      <c r="B181" s="233"/>
      <c r="C181" s="233"/>
      <c r="D181" s="233"/>
      <c r="E181" s="540"/>
      <c r="F181" s="234"/>
      <c r="G181" s="231"/>
      <c r="H181" s="1"/>
    </row>
    <row r="182" spans="1:8" ht="21" customHeight="1" thickBot="1">
      <c r="A182" s="235"/>
      <c r="B182" s="236"/>
      <c r="C182" s="236"/>
      <c r="D182" s="237"/>
      <c r="E182" s="541"/>
      <c r="F182" s="238">
        <f>SUM(F175:F176)</f>
        <v>87572</v>
      </c>
      <c r="G182" s="239">
        <f>G177</f>
        <v>87572</v>
      </c>
      <c r="H182" s="1"/>
    </row>
    <row r="183" spans="1:8" ht="21" customHeight="1" thickTop="1">
      <c r="A183" s="217" t="s">
        <v>90</v>
      </c>
      <c r="B183" s="240" t="s">
        <v>719</v>
      </c>
      <c r="C183" s="241"/>
      <c r="D183" s="242"/>
      <c r="E183" s="524"/>
      <c r="F183" s="531"/>
      <c r="G183" s="596"/>
      <c r="H183" s="1"/>
    </row>
    <row r="184" spans="1:8" ht="21" customHeight="1">
      <c r="A184" s="244"/>
      <c r="B184" s="240"/>
      <c r="C184" s="241"/>
      <c r="D184" s="242"/>
      <c r="E184" s="524"/>
      <c r="F184" s="171"/>
      <c r="G184" s="593"/>
      <c r="H184" s="1"/>
    </row>
    <row r="185" spans="1:8" ht="21" customHeight="1">
      <c r="A185" s="245"/>
      <c r="B185" s="746"/>
      <c r="C185" s="746"/>
      <c r="D185" s="746"/>
      <c r="E185" s="170"/>
      <c r="F185" s="524"/>
      <c r="G185" s="593"/>
      <c r="H185" s="1"/>
    </row>
    <row r="186" spans="1:8" ht="21" customHeight="1">
      <c r="A186" s="245"/>
      <c r="B186" s="746"/>
      <c r="C186" s="746"/>
      <c r="D186" s="746"/>
      <c r="E186" s="170"/>
      <c r="F186" s="171"/>
      <c r="G186" s="593"/>
      <c r="H186" s="1"/>
    </row>
    <row r="187" spans="1:8" ht="21" customHeight="1">
      <c r="A187" s="245"/>
      <c r="B187" s="746"/>
      <c r="C187" s="746"/>
      <c r="D187" s="746"/>
      <c r="E187" s="170"/>
      <c r="F187" s="171"/>
      <c r="G187" s="593"/>
      <c r="H187" s="1"/>
    </row>
    <row r="188" spans="1:8" ht="21" customHeight="1">
      <c r="A188" s="245"/>
      <c r="B188" s="746"/>
      <c r="C188" s="746"/>
      <c r="D188" s="746"/>
      <c r="E188" s="170"/>
      <c r="F188" s="171"/>
      <c r="G188" s="593"/>
      <c r="H188" s="1"/>
    </row>
    <row r="189" spans="1:8" ht="21" customHeight="1">
      <c r="A189" s="245"/>
      <c r="B189" s="746"/>
      <c r="C189" s="746"/>
      <c r="D189" s="746"/>
      <c r="E189" s="170"/>
      <c r="F189" s="171"/>
      <c r="G189" s="593"/>
      <c r="H189" s="1"/>
    </row>
    <row r="190" spans="1:8" ht="21" customHeight="1">
      <c r="A190" s="245"/>
      <c r="B190" s="746"/>
      <c r="C190" s="746"/>
      <c r="D190" s="746"/>
      <c r="E190" s="170"/>
      <c r="F190" s="171"/>
      <c r="G190" s="593"/>
      <c r="H190" s="1"/>
    </row>
    <row r="191" spans="1:8" ht="21" customHeight="1">
      <c r="A191" s="245"/>
      <c r="B191" s="522"/>
      <c r="C191" s="247"/>
      <c r="E191" s="170"/>
      <c r="F191" s="524"/>
      <c r="G191" s="593"/>
      <c r="H191" s="1"/>
    </row>
    <row r="192" spans="1:8" ht="21" customHeight="1">
      <c r="A192" s="245"/>
      <c r="B192" s="747"/>
      <c r="C192" s="747"/>
      <c r="D192" s="747"/>
      <c r="E192" s="170"/>
      <c r="F192" s="526"/>
      <c r="G192" s="593"/>
      <c r="H192" s="1"/>
    </row>
    <row r="193" spans="1:8" ht="21" customHeight="1">
      <c r="A193" s="245"/>
      <c r="B193" s="595"/>
      <c r="C193" s="253" t="s">
        <v>70</v>
      </c>
      <c r="D193" s="219"/>
      <c r="E193" s="590">
        <f>SUM(F185:F192)</f>
        <v>0</v>
      </c>
      <c r="F193" s="171"/>
      <c r="G193" s="593"/>
      <c r="H193" s="1"/>
    </row>
    <row r="194" spans="1:8" ht="21" customHeight="1">
      <c r="A194" s="711" t="s">
        <v>34</v>
      </c>
      <c r="B194" s="712"/>
      <c r="C194" s="741" t="s">
        <v>439</v>
      </c>
      <c r="D194" s="742"/>
      <c r="E194" s="743"/>
      <c r="F194" s="734" t="s">
        <v>440</v>
      </c>
      <c r="G194" s="735"/>
      <c r="H194" s="1"/>
    </row>
    <row r="195" spans="1:8" ht="21" customHeight="1">
      <c r="A195" s="586"/>
      <c r="B195" s="588"/>
      <c r="C195" s="419"/>
      <c r="D195" s="254"/>
      <c r="E195" s="566"/>
      <c r="F195" s="592"/>
      <c r="G195" s="593"/>
      <c r="H195" s="1"/>
    </row>
    <row r="196" spans="1:8" ht="21" customHeight="1">
      <c r="A196" s="586"/>
      <c r="B196" s="588"/>
      <c r="C196" s="419"/>
      <c r="D196" s="171"/>
      <c r="E196" s="591"/>
      <c r="F196" s="419"/>
      <c r="G196" s="593"/>
      <c r="H196" s="1"/>
    </row>
    <row r="197" spans="1:8" ht="21" customHeight="1">
      <c r="A197" s="714" t="s">
        <v>441</v>
      </c>
      <c r="B197" s="715"/>
      <c r="C197" s="729" t="s">
        <v>562</v>
      </c>
      <c r="D197" s="736"/>
      <c r="E197" s="730"/>
      <c r="F197" s="729" t="s">
        <v>441</v>
      </c>
      <c r="G197" s="730"/>
      <c r="H197" s="1"/>
    </row>
    <row r="198" spans="1:8" ht="21" customHeight="1">
      <c r="A198" s="716" t="s">
        <v>442</v>
      </c>
      <c r="B198" s="717"/>
      <c r="C198" s="738" t="s">
        <v>563</v>
      </c>
      <c r="D198" s="739"/>
      <c r="E198" s="740"/>
      <c r="F198" s="731" t="s">
        <v>442</v>
      </c>
      <c r="G198" s="732"/>
      <c r="H198" s="1"/>
    </row>
    <row r="199" ht="21" customHeight="1">
      <c r="H199" s="1"/>
    </row>
    <row r="200" ht="21" customHeight="1">
      <c r="H200" s="1"/>
    </row>
    <row r="201" ht="21" customHeight="1">
      <c r="H201" s="1"/>
    </row>
    <row r="202" ht="21" customHeight="1">
      <c r="H202" s="1"/>
    </row>
    <row r="203" ht="21" customHeight="1">
      <c r="H203" s="1"/>
    </row>
    <row r="204" ht="21" customHeight="1">
      <c r="H204" s="1"/>
    </row>
    <row r="205" ht="21" customHeight="1">
      <c r="H205" s="1"/>
    </row>
    <row r="206" ht="21" customHeight="1">
      <c r="H206" s="1"/>
    </row>
    <row r="207" ht="21" customHeight="1">
      <c r="H207" s="1"/>
    </row>
    <row r="208" ht="21" customHeight="1">
      <c r="H208" s="1"/>
    </row>
    <row r="209" ht="21" customHeight="1">
      <c r="H209" s="1"/>
    </row>
    <row r="210" ht="21" customHeight="1">
      <c r="H210" s="1"/>
    </row>
    <row r="211" spans="4:8" ht="21" customHeight="1">
      <c r="D211" s="1"/>
      <c r="E211" s="1"/>
      <c r="F211" s="1"/>
      <c r="G211" s="1"/>
      <c r="H211" s="1"/>
    </row>
    <row r="212" spans="4:8" ht="21" customHeight="1">
      <c r="D212" s="1"/>
      <c r="E212" s="1"/>
      <c r="F212" s="1"/>
      <c r="G212" s="1"/>
      <c r="H212" s="1"/>
    </row>
    <row r="213" spans="4:8" ht="21" customHeight="1">
      <c r="D213" s="1"/>
      <c r="E213" s="1"/>
      <c r="F213" s="1"/>
      <c r="G213" s="1"/>
      <c r="H213" s="1"/>
    </row>
    <row r="214" spans="4:8" ht="21" customHeight="1">
      <c r="D214" s="1"/>
      <c r="E214" s="1"/>
      <c r="F214" s="1"/>
      <c r="G214" s="1"/>
      <c r="H214" s="1"/>
    </row>
    <row r="215" spans="4:8" ht="21" customHeight="1">
      <c r="D215" s="1"/>
      <c r="E215" s="1"/>
      <c r="F215" s="1"/>
      <c r="G215" s="1"/>
      <c r="H215" s="1"/>
    </row>
    <row r="216" spans="4:8" ht="21" customHeight="1">
      <c r="D216" s="1"/>
      <c r="E216" s="1"/>
      <c r="F216" s="1"/>
      <c r="G216" s="1"/>
      <c r="H216" s="1"/>
    </row>
    <row r="217" spans="4:8" ht="21" customHeight="1">
      <c r="D217" s="1"/>
      <c r="E217" s="1"/>
      <c r="F217" s="1"/>
      <c r="G217" s="1"/>
      <c r="H217" s="1"/>
    </row>
    <row r="218" spans="4:8" ht="21" customHeight="1">
      <c r="D218" s="1"/>
      <c r="E218" s="1"/>
      <c r="F218" s="1"/>
      <c r="G218" s="1"/>
      <c r="H218" s="1"/>
    </row>
    <row r="219" spans="4:8" ht="21" customHeight="1">
      <c r="D219" s="1"/>
      <c r="E219" s="1"/>
      <c r="F219" s="1"/>
      <c r="G219" s="1"/>
      <c r="H219" s="1"/>
    </row>
    <row r="220" spans="4:8" ht="21" customHeight="1">
      <c r="D220" s="1"/>
      <c r="E220" s="1"/>
      <c r="F220" s="1"/>
      <c r="G220" s="1"/>
      <c r="H220" s="1"/>
    </row>
    <row r="221" spans="4:8" ht="21" customHeight="1">
      <c r="D221" s="1"/>
      <c r="E221" s="1"/>
      <c r="F221" s="1"/>
      <c r="G221" s="1"/>
      <c r="H221" s="1"/>
    </row>
    <row r="222" spans="4:8" ht="21" customHeight="1">
      <c r="D222" s="1"/>
      <c r="E222" s="1"/>
      <c r="F222" s="1"/>
      <c r="G222" s="1"/>
      <c r="H222" s="1"/>
    </row>
    <row r="223" spans="4:8" ht="21" customHeight="1">
      <c r="D223" s="1"/>
      <c r="E223" s="1"/>
      <c r="F223" s="1"/>
      <c r="G223" s="1"/>
      <c r="H223" s="1"/>
    </row>
    <row r="224" spans="4:8" ht="21" customHeight="1">
      <c r="D224" s="1"/>
      <c r="E224" s="1"/>
      <c r="F224" s="1"/>
      <c r="G224" s="1"/>
      <c r="H224" s="1"/>
    </row>
    <row r="225" spans="4:8" ht="21" customHeight="1">
      <c r="D225" s="1"/>
      <c r="E225" s="1"/>
      <c r="F225" s="1"/>
      <c r="G225" s="1"/>
      <c r="H225" s="1"/>
    </row>
    <row r="226" spans="4:8" ht="21" customHeight="1">
      <c r="D226" s="1"/>
      <c r="E226" s="1"/>
      <c r="F226" s="1"/>
      <c r="G226" s="1"/>
      <c r="H226" s="1"/>
    </row>
    <row r="227" spans="4:8" ht="21" customHeight="1">
      <c r="D227" s="1"/>
      <c r="E227" s="1"/>
      <c r="F227" s="1"/>
      <c r="G227" s="1"/>
      <c r="H227" s="1"/>
    </row>
    <row r="228" spans="4:8" ht="21" customHeight="1">
      <c r="D228" s="1"/>
      <c r="E228" s="1"/>
      <c r="F228" s="1"/>
      <c r="G228" s="1"/>
      <c r="H228" s="1"/>
    </row>
    <row r="229" spans="4:8" ht="21" customHeight="1">
      <c r="D229" s="1"/>
      <c r="E229" s="1"/>
      <c r="F229" s="1"/>
      <c r="G229" s="1"/>
      <c r="H229" s="1"/>
    </row>
    <row r="230" spans="4:8" ht="21" customHeight="1">
      <c r="D230" s="1"/>
      <c r="E230" s="1"/>
      <c r="F230" s="1"/>
      <c r="G230" s="1"/>
      <c r="H230" s="1"/>
    </row>
    <row r="231" spans="4:8" ht="21" customHeight="1">
      <c r="D231" s="1"/>
      <c r="E231" s="1"/>
      <c r="F231" s="1"/>
      <c r="G231" s="1"/>
      <c r="H231" s="1"/>
    </row>
    <row r="232" spans="4:8" ht="21" customHeight="1">
      <c r="D232" s="1"/>
      <c r="E232" s="1"/>
      <c r="F232" s="1"/>
      <c r="G232" s="1"/>
      <c r="H232" s="1"/>
    </row>
    <row r="233" spans="4:8" ht="21" customHeight="1">
      <c r="D233" s="1"/>
      <c r="E233" s="1"/>
      <c r="F233" s="1"/>
      <c r="G233" s="1"/>
      <c r="H233" s="1"/>
    </row>
    <row r="234" spans="4:8" ht="21" customHeight="1">
      <c r="D234" s="1"/>
      <c r="E234" s="1"/>
      <c r="F234" s="1"/>
      <c r="G234" s="1"/>
      <c r="H234" s="1"/>
    </row>
    <row r="235" spans="4:8" ht="21" customHeight="1">
      <c r="D235" s="1"/>
      <c r="E235" s="1"/>
      <c r="F235" s="1"/>
      <c r="G235" s="1"/>
      <c r="H235" s="1"/>
    </row>
    <row r="236" spans="4:8" ht="21" customHeight="1">
      <c r="D236" s="1"/>
      <c r="E236" s="1"/>
      <c r="F236" s="1"/>
      <c r="G236" s="1"/>
      <c r="H236" s="1"/>
    </row>
    <row r="237" spans="4:8" ht="21" customHeight="1">
      <c r="D237" s="1"/>
      <c r="E237" s="1"/>
      <c r="F237" s="1"/>
      <c r="G237" s="1"/>
      <c r="H237" s="1"/>
    </row>
    <row r="238" spans="4:8" ht="21" customHeight="1">
      <c r="D238" s="1"/>
      <c r="E238" s="1"/>
      <c r="F238" s="1"/>
      <c r="G238" s="1"/>
      <c r="H238" s="1"/>
    </row>
    <row r="239" spans="4:8" ht="21" customHeight="1">
      <c r="D239" s="1"/>
      <c r="E239" s="1"/>
      <c r="F239" s="1"/>
      <c r="G239" s="1"/>
      <c r="H239" s="1"/>
    </row>
    <row r="240" spans="4:8" ht="21" customHeight="1">
      <c r="D240" s="1"/>
      <c r="E240" s="1"/>
      <c r="F240" s="1"/>
      <c r="G240" s="1"/>
      <c r="H240" s="1"/>
    </row>
    <row r="241" spans="4:8" ht="21" customHeight="1">
      <c r="D241" s="1"/>
      <c r="E241" s="1"/>
      <c r="F241" s="1"/>
      <c r="G241" s="1"/>
      <c r="H241" s="1"/>
    </row>
    <row r="242" spans="4:8" ht="21" customHeight="1">
      <c r="D242" s="1"/>
      <c r="E242" s="1"/>
      <c r="F242" s="1"/>
      <c r="G242" s="1"/>
      <c r="H242" s="1"/>
    </row>
    <row r="243" spans="4:8" ht="21" customHeight="1">
      <c r="D243" s="1"/>
      <c r="E243" s="1"/>
      <c r="F243" s="1"/>
      <c r="G243" s="1"/>
      <c r="H243" s="1"/>
    </row>
    <row r="244" spans="4:8" ht="21" customHeight="1">
      <c r="D244" s="1"/>
      <c r="E244" s="1"/>
      <c r="F244" s="1"/>
      <c r="G244" s="1"/>
      <c r="H244" s="1"/>
    </row>
    <row r="245" spans="4:8" ht="21" customHeight="1">
      <c r="D245" s="1"/>
      <c r="E245" s="1"/>
      <c r="F245" s="1"/>
      <c r="G245" s="1"/>
      <c r="H245" s="1"/>
    </row>
    <row r="246" spans="4:8" ht="21" customHeight="1">
      <c r="D246" s="1"/>
      <c r="E246" s="1"/>
      <c r="F246" s="1"/>
      <c r="G246" s="1"/>
      <c r="H246" s="1"/>
    </row>
    <row r="247" spans="4:8" ht="21" customHeight="1">
      <c r="D247" s="1"/>
      <c r="E247" s="1"/>
      <c r="F247" s="1"/>
      <c r="G247" s="1"/>
      <c r="H247" s="1"/>
    </row>
    <row r="248" spans="4:8" ht="21" customHeight="1">
      <c r="D248" s="1"/>
      <c r="E248" s="1"/>
      <c r="F248" s="1"/>
      <c r="G248" s="1"/>
      <c r="H248" s="1"/>
    </row>
    <row r="249" spans="4:8" ht="21" customHeight="1">
      <c r="D249" s="1"/>
      <c r="E249" s="1"/>
      <c r="F249" s="1"/>
      <c r="G249" s="1"/>
      <c r="H249" s="1"/>
    </row>
    <row r="250" spans="4:8" ht="21" customHeight="1">
      <c r="D250" s="1"/>
      <c r="E250" s="1"/>
      <c r="F250" s="1"/>
      <c r="G250" s="1"/>
      <c r="H250" s="1"/>
    </row>
    <row r="251" spans="4:8" ht="21" customHeight="1">
      <c r="D251" s="1"/>
      <c r="E251" s="1"/>
      <c r="F251" s="1"/>
      <c r="G251" s="1"/>
      <c r="H251" s="1"/>
    </row>
    <row r="252" spans="4:8" ht="21" customHeight="1">
      <c r="D252" s="1"/>
      <c r="E252" s="1"/>
      <c r="F252" s="1"/>
      <c r="G252" s="1"/>
      <c r="H252" s="1"/>
    </row>
    <row r="253" spans="4:8" ht="21" customHeight="1">
      <c r="D253" s="1"/>
      <c r="E253" s="1"/>
      <c r="F253" s="1"/>
      <c r="G253" s="1"/>
      <c r="H253" s="1"/>
    </row>
    <row r="254" spans="4:8" ht="21" customHeight="1">
      <c r="D254" s="1"/>
      <c r="E254" s="1"/>
      <c r="F254" s="1"/>
      <c r="G254" s="1"/>
      <c r="H254" s="1"/>
    </row>
    <row r="255" spans="6:8" ht="21" customHeight="1">
      <c r="F255" s="737" t="s">
        <v>505</v>
      </c>
      <c r="G255" s="737"/>
      <c r="H255" s="1"/>
    </row>
    <row r="256" spans="5:8" ht="21" customHeight="1">
      <c r="E256" s="704" t="s">
        <v>575</v>
      </c>
      <c r="F256" s="704"/>
      <c r="G256" s="704"/>
      <c r="H256" s="1"/>
    </row>
    <row r="257" spans="1:8" ht="21" customHeight="1">
      <c r="A257" s="702" t="s">
        <v>89</v>
      </c>
      <c r="B257" s="702"/>
      <c r="C257" s="702"/>
      <c r="D257" s="702"/>
      <c r="E257" s="702"/>
      <c r="F257" s="702"/>
      <c r="G257" s="702"/>
      <c r="H257" s="1"/>
    </row>
    <row r="258" spans="1:8" ht="21" customHeight="1" thickBot="1">
      <c r="A258" s="174" t="s">
        <v>120</v>
      </c>
      <c r="B258" s="174"/>
      <c r="C258" s="174"/>
      <c r="D258" s="223"/>
      <c r="H258" s="1"/>
    </row>
    <row r="259" spans="1:8" ht="21" customHeight="1" thickBot="1">
      <c r="A259" s="727" t="s">
        <v>52</v>
      </c>
      <c r="B259" s="744"/>
      <c r="C259" s="744"/>
      <c r="D259" s="745"/>
      <c r="E259" s="538" t="s">
        <v>47</v>
      </c>
      <c r="F259" s="225" t="s">
        <v>9</v>
      </c>
      <c r="G259" s="226" t="s">
        <v>10</v>
      </c>
      <c r="H259" s="1"/>
    </row>
    <row r="260" spans="1:8" ht="21" customHeight="1">
      <c r="A260" s="650" t="s">
        <v>81</v>
      </c>
      <c r="B260" s="186"/>
      <c r="C260" s="186"/>
      <c r="D260" s="186"/>
      <c r="E260" s="539"/>
      <c r="F260" s="227">
        <v>4082392.41</v>
      </c>
      <c r="G260" s="228"/>
      <c r="H260" s="1"/>
    </row>
    <row r="261" spans="1:8" ht="21" customHeight="1">
      <c r="A261" s="185"/>
      <c r="B261" s="186" t="s">
        <v>7</v>
      </c>
      <c r="C261" s="186"/>
      <c r="E261" s="540"/>
      <c r="F261" s="230"/>
      <c r="G261" s="231">
        <v>4082392.41</v>
      </c>
      <c r="H261" s="1"/>
    </row>
    <row r="262" spans="1:8" ht="21" customHeight="1">
      <c r="A262" s="232"/>
      <c r="C262" s="233"/>
      <c r="D262" s="233"/>
      <c r="E262" s="540"/>
      <c r="F262" s="230"/>
      <c r="G262" s="231"/>
      <c r="H262" s="1"/>
    </row>
    <row r="263" spans="1:8" ht="21" customHeight="1">
      <c r="A263" s="232"/>
      <c r="B263" s="233"/>
      <c r="C263" s="233"/>
      <c r="D263" s="233"/>
      <c r="E263" s="540"/>
      <c r="F263" s="230"/>
      <c r="G263" s="231"/>
      <c r="H263" s="1"/>
    </row>
    <row r="264" spans="1:8" ht="21" customHeight="1">
      <c r="A264" s="232"/>
      <c r="B264" s="233"/>
      <c r="C264" s="233"/>
      <c r="D264" s="233"/>
      <c r="E264" s="540"/>
      <c r="F264" s="230"/>
      <c r="G264" s="231"/>
      <c r="H264" s="1"/>
    </row>
    <row r="265" spans="1:8" ht="21" customHeight="1">
      <c r="A265" s="232"/>
      <c r="B265" s="233"/>
      <c r="C265" s="233"/>
      <c r="D265" s="233"/>
      <c r="E265" s="540"/>
      <c r="F265" s="230"/>
      <c r="G265" s="231"/>
      <c r="H265" s="1"/>
    </row>
    <row r="266" spans="1:8" ht="21" customHeight="1">
      <c r="A266" s="232"/>
      <c r="B266" s="233"/>
      <c r="C266" s="233"/>
      <c r="D266" s="233"/>
      <c r="E266" s="540"/>
      <c r="F266" s="234"/>
      <c r="G266" s="231"/>
      <c r="H266" s="1"/>
    </row>
    <row r="267" spans="1:8" ht="21" customHeight="1">
      <c r="A267" s="232"/>
      <c r="B267" s="233"/>
      <c r="C267" s="233"/>
      <c r="D267" s="233"/>
      <c r="E267" s="540"/>
      <c r="F267" s="234"/>
      <c r="G267" s="231"/>
      <c r="H267" s="1"/>
    </row>
    <row r="268" spans="1:8" ht="21" customHeight="1" thickBot="1">
      <c r="A268" s="235"/>
      <c r="B268" s="236"/>
      <c r="C268" s="236"/>
      <c r="D268" s="237"/>
      <c r="E268" s="541"/>
      <c r="F268" s="238">
        <f>SUM(F260:F261)</f>
        <v>4082392.41</v>
      </c>
      <c r="G268" s="239">
        <f>SUM(G261:G261)</f>
        <v>4082392.41</v>
      </c>
      <c r="H268" s="1"/>
    </row>
    <row r="269" spans="1:8" ht="21" customHeight="1" thickTop="1">
      <c r="A269" s="217" t="s">
        <v>90</v>
      </c>
      <c r="B269" s="240" t="s">
        <v>579</v>
      </c>
      <c r="C269" s="241"/>
      <c r="D269" s="242"/>
      <c r="E269" s="524"/>
      <c r="F269" s="171"/>
      <c r="G269" s="530"/>
      <c r="H269" s="1"/>
    </row>
    <row r="270" spans="1:8" ht="21" customHeight="1">
      <c r="A270" s="217"/>
      <c r="B270" s="240"/>
      <c r="C270" s="241"/>
      <c r="D270" s="242"/>
      <c r="E270" s="524"/>
      <c r="F270" s="171"/>
      <c r="G270" s="243"/>
      <c r="H270" s="1"/>
    </row>
    <row r="271" spans="1:8" ht="21" customHeight="1">
      <c r="A271" s="217"/>
      <c r="B271" s="240"/>
      <c r="C271" s="241"/>
      <c r="D271" s="242"/>
      <c r="E271" s="524"/>
      <c r="F271" s="171"/>
      <c r="G271" s="243"/>
      <c r="H271" s="1"/>
    </row>
    <row r="272" spans="1:8" ht="21" customHeight="1">
      <c r="A272" s="217"/>
      <c r="B272" s="240"/>
      <c r="C272" s="241"/>
      <c r="D272" s="242"/>
      <c r="E272" s="524"/>
      <c r="F272" s="171"/>
      <c r="G272" s="243"/>
      <c r="H272" s="1"/>
    </row>
    <row r="273" spans="1:8" ht="21" customHeight="1">
      <c r="A273" s="217"/>
      <c r="B273" s="240"/>
      <c r="C273" s="241"/>
      <c r="D273" s="242"/>
      <c r="E273" s="524"/>
      <c r="F273" s="171"/>
      <c r="G273" s="243"/>
      <c r="H273" s="1"/>
    </row>
    <row r="274" spans="1:8" ht="21" customHeight="1">
      <c r="A274" s="217"/>
      <c r="B274" s="240"/>
      <c r="C274" s="241"/>
      <c r="D274" s="242"/>
      <c r="E274" s="524"/>
      <c r="F274" s="171"/>
      <c r="G274" s="243"/>
      <c r="H274" s="1"/>
    </row>
    <row r="275" spans="1:8" ht="21" customHeight="1">
      <c r="A275" s="244"/>
      <c r="B275" s="240"/>
      <c r="C275" s="241"/>
      <c r="D275" s="242"/>
      <c r="E275" s="524"/>
      <c r="F275" s="171"/>
      <c r="G275" s="243"/>
      <c r="H275" s="1"/>
    </row>
    <row r="276" spans="1:8" ht="21" customHeight="1">
      <c r="A276" s="245"/>
      <c r="B276" s="528"/>
      <c r="C276" s="528"/>
      <c r="D276" s="170"/>
      <c r="E276" s="524"/>
      <c r="F276" s="171"/>
      <c r="G276" s="243"/>
      <c r="H276" s="1"/>
    </row>
    <row r="277" spans="1:8" ht="21" customHeight="1">
      <c r="A277" s="245"/>
      <c r="B277" s="246"/>
      <c r="C277" s="246"/>
      <c r="D277" s="170"/>
      <c r="E277" s="524"/>
      <c r="F277" s="171"/>
      <c r="G277" s="243"/>
      <c r="H277" s="1"/>
    </row>
    <row r="278" spans="1:8" ht="21" customHeight="1">
      <c r="A278" s="245"/>
      <c r="B278" s="240"/>
      <c r="C278" s="247"/>
      <c r="D278" s="170"/>
      <c r="E278" s="526"/>
      <c r="F278" s="171"/>
      <c r="G278" s="243"/>
      <c r="H278" s="1"/>
    </row>
    <row r="279" spans="1:8" ht="21" customHeight="1">
      <c r="A279" s="245"/>
      <c r="B279" s="240"/>
      <c r="C279" s="249"/>
      <c r="D279" s="170"/>
      <c r="E279" s="524"/>
      <c r="F279" s="171"/>
      <c r="G279" s="243"/>
      <c r="H279" s="1"/>
    </row>
    <row r="280" spans="1:8" ht="21" customHeight="1">
      <c r="A280" s="711" t="s">
        <v>34</v>
      </c>
      <c r="B280" s="712"/>
      <c r="C280" s="741" t="s">
        <v>439</v>
      </c>
      <c r="D280" s="742"/>
      <c r="E280" s="743"/>
      <c r="F280" s="734" t="s">
        <v>440</v>
      </c>
      <c r="G280" s="735"/>
      <c r="H280" s="1"/>
    </row>
    <row r="281" spans="1:8" ht="21" customHeight="1">
      <c r="A281" s="586"/>
      <c r="B281" s="588"/>
      <c r="C281" s="419"/>
      <c r="D281" s="254"/>
      <c r="E281" s="566"/>
      <c r="F281" s="592"/>
      <c r="G281" s="593"/>
      <c r="H281" s="1"/>
    </row>
    <row r="282" spans="1:8" ht="21" customHeight="1">
      <c r="A282" s="586"/>
      <c r="B282" s="588"/>
      <c r="C282" s="419"/>
      <c r="D282" s="171"/>
      <c r="E282" s="591"/>
      <c r="F282" s="419"/>
      <c r="G282" s="593"/>
      <c r="H282" s="1"/>
    </row>
    <row r="283" spans="1:8" ht="21" customHeight="1">
      <c r="A283" s="714" t="s">
        <v>441</v>
      </c>
      <c r="B283" s="715"/>
      <c r="C283" s="729" t="s">
        <v>564</v>
      </c>
      <c r="D283" s="736"/>
      <c r="E283" s="730"/>
      <c r="F283" s="729" t="s">
        <v>441</v>
      </c>
      <c r="G283" s="730"/>
      <c r="H283" s="1"/>
    </row>
    <row r="284" spans="1:8" ht="21" customHeight="1">
      <c r="A284" s="716" t="s">
        <v>442</v>
      </c>
      <c r="B284" s="717"/>
      <c r="C284" s="738" t="s">
        <v>563</v>
      </c>
      <c r="D284" s="739"/>
      <c r="E284" s="740"/>
      <c r="F284" s="731" t="s">
        <v>442</v>
      </c>
      <c r="G284" s="732"/>
      <c r="H284" s="1"/>
    </row>
    <row r="285" spans="4:8" ht="21" customHeight="1">
      <c r="D285" s="1"/>
      <c r="E285" s="1"/>
      <c r="F285" s="1"/>
      <c r="G285" s="1"/>
      <c r="H285" s="1"/>
    </row>
    <row r="286" spans="4:8" ht="21" customHeight="1">
      <c r="D286" s="1"/>
      <c r="E286" s="1"/>
      <c r="F286" s="1"/>
      <c r="G286" s="1"/>
      <c r="H286" s="1"/>
    </row>
    <row r="287" spans="4:8" ht="21" customHeight="1">
      <c r="D287" s="1"/>
      <c r="E287" s="1"/>
      <c r="F287" s="1"/>
      <c r="G287" s="1"/>
      <c r="H287" s="1"/>
    </row>
    <row r="288" spans="4:8" ht="21" customHeight="1">
      <c r="D288" s="1"/>
      <c r="E288" s="1"/>
      <c r="F288" s="1"/>
      <c r="G288" s="1"/>
      <c r="H288" s="1"/>
    </row>
    <row r="289" spans="4:8" ht="21" customHeight="1">
      <c r="D289" s="1"/>
      <c r="E289" s="1"/>
      <c r="F289" s="1"/>
      <c r="G289" s="1"/>
      <c r="H289" s="1"/>
    </row>
    <row r="290" spans="4:8" ht="21" customHeight="1">
      <c r="D290" s="1"/>
      <c r="E290" s="1"/>
      <c r="F290" s="1"/>
      <c r="G290" s="1"/>
      <c r="H290" s="1"/>
    </row>
    <row r="291" spans="4:8" ht="21" customHeight="1">
      <c r="D291" s="1"/>
      <c r="E291" s="1"/>
      <c r="F291" s="1"/>
      <c r="G291" s="1"/>
      <c r="H291" s="1"/>
    </row>
    <row r="292" spans="4:8" ht="21" customHeight="1">
      <c r="D292" s="1"/>
      <c r="E292" s="1"/>
      <c r="F292" s="1"/>
      <c r="G292" s="1"/>
      <c r="H292" s="1"/>
    </row>
    <row r="293" spans="4:8" ht="21" customHeight="1">
      <c r="D293" s="1"/>
      <c r="E293" s="1"/>
      <c r="F293" s="1"/>
      <c r="G293" s="1"/>
      <c r="H293" s="1"/>
    </row>
    <row r="294" spans="4:8" ht="21" customHeight="1">
      <c r="D294" s="1"/>
      <c r="E294" s="1"/>
      <c r="F294" s="1"/>
      <c r="G294" s="1"/>
      <c r="H294" s="1"/>
    </row>
    <row r="295" spans="4:8" ht="21" customHeight="1">
      <c r="D295" s="1"/>
      <c r="E295" s="1"/>
      <c r="F295" s="1"/>
      <c r="G295" s="1"/>
      <c r="H295" s="1"/>
    </row>
    <row r="296" spans="4:8" ht="21" customHeight="1">
      <c r="D296" s="1"/>
      <c r="E296" s="1"/>
      <c r="F296" s="1"/>
      <c r="G296" s="1"/>
      <c r="H296" s="1"/>
    </row>
    <row r="297" spans="6:8" ht="21" customHeight="1">
      <c r="F297" s="737" t="s">
        <v>505</v>
      </c>
      <c r="G297" s="737"/>
      <c r="H297" s="1"/>
    </row>
    <row r="298" spans="5:8" ht="21" customHeight="1">
      <c r="E298" s="704" t="s">
        <v>575</v>
      </c>
      <c r="F298" s="704"/>
      <c r="G298" s="704"/>
      <c r="H298" s="1"/>
    </row>
    <row r="299" spans="1:8" ht="21" customHeight="1">
      <c r="A299" s="702" t="s">
        <v>89</v>
      </c>
      <c r="B299" s="702"/>
      <c r="C299" s="702"/>
      <c r="D299" s="702"/>
      <c r="E299" s="702"/>
      <c r="F299" s="702"/>
      <c r="G299" s="702"/>
      <c r="H299" s="1"/>
    </row>
    <row r="300" spans="1:8" ht="21" customHeight="1" thickBot="1">
      <c r="A300" s="174" t="s">
        <v>120</v>
      </c>
      <c r="B300" s="174"/>
      <c r="C300" s="174"/>
      <c r="D300" s="223"/>
      <c r="H300" s="1"/>
    </row>
    <row r="301" spans="1:8" ht="21" customHeight="1" thickBot="1">
      <c r="A301" s="727" t="s">
        <v>52</v>
      </c>
      <c r="B301" s="744"/>
      <c r="C301" s="744"/>
      <c r="D301" s="745"/>
      <c r="E301" s="538" t="s">
        <v>47</v>
      </c>
      <c r="F301" s="225" t="s">
        <v>9</v>
      </c>
      <c r="G301" s="226" t="s">
        <v>10</v>
      </c>
      <c r="H301" s="1"/>
    </row>
    <row r="302" spans="1:8" ht="21" customHeight="1">
      <c r="A302" s="650" t="s">
        <v>2</v>
      </c>
      <c r="B302" s="186"/>
      <c r="C302" s="186"/>
      <c r="D302" s="186"/>
      <c r="E302" s="539"/>
      <c r="F302" s="227">
        <f>507406.4+300</f>
        <v>507706.4</v>
      </c>
      <c r="G302" s="228"/>
      <c r="H302" s="1"/>
    </row>
    <row r="303" spans="1:8" ht="21" customHeight="1">
      <c r="A303" s="185" t="s">
        <v>1</v>
      </c>
      <c r="B303" s="186"/>
      <c r="C303" s="186"/>
      <c r="E303" s="540"/>
      <c r="F303" s="230">
        <f>8217.3+15000+15000+27000+9000+9000</f>
        <v>83217.3</v>
      </c>
      <c r="G303" s="231"/>
      <c r="H303" s="1"/>
    </row>
    <row r="304" spans="1:8" ht="21" customHeight="1">
      <c r="A304" s="232" t="s">
        <v>594</v>
      </c>
      <c r="B304" s="159"/>
      <c r="C304" s="233"/>
      <c r="E304" s="540"/>
      <c r="F304" s="230">
        <v>12000</v>
      </c>
      <c r="G304" s="231"/>
      <c r="H304" s="1"/>
    </row>
    <row r="305" spans="1:8" ht="21" customHeight="1">
      <c r="A305" s="232" t="s">
        <v>5</v>
      </c>
      <c r="C305" s="233"/>
      <c r="D305" s="233"/>
      <c r="E305" s="540"/>
      <c r="F305" s="230">
        <f>700000</f>
        <v>700000</v>
      </c>
      <c r="G305" s="231"/>
      <c r="H305" s="1"/>
    </row>
    <row r="306" spans="1:8" ht="21" customHeight="1">
      <c r="A306" s="232"/>
      <c r="B306" s="233" t="s">
        <v>81</v>
      </c>
      <c r="C306" s="233"/>
      <c r="D306" s="233"/>
      <c r="E306" s="540"/>
      <c r="F306" s="230"/>
      <c r="G306" s="231">
        <f>F302+F303+F305+F304</f>
        <v>1302923.7000000002</v>
      </c>
      <c r="H306" s="1"/>
    </row>
    <row r="307" spans="1:8" ht="21" customHeight="1">
      <c r="A307" s="232"/>
      <c r="B307" s="233"/>
      <c r="C307" s="233"/>
      <c r="D307" s="233"/>
      <c r="E307" s="540"/>
      <c r="F307" s="230"/>
      <c r="G307" s="231"/>
      <c r="H307" s="1"/>
    </row>
    <row r="308" spans="1:8" ht="21" customHeight="1">
      <c r="A308" s="232"/>
      <c r="B308" s="233"/>
      <c r="C308" s="233"/>
      <c r="D308" s="233"/>
      <c r="E308" s="540"/>
      <c r="F308" s="230"/>
      <c r="G308" s="231"/>
      <c r="H308" s="1"/>
    </row>
    <row r="309" spans="1:8" ht="21" customHeight="1">
      <c r="A309" s="232"/>
      <c r="B309" s="233"/>
      <c r="C309" s="233"/>
      <c r="D309" s="233"/>
      <c r="E309" s="540"/>
      <c r="F309" s="234"/>
      <c r="G309" s="231"/>
      <c r="H309" s="1"/>
    </row>
    <row r="310" spans="1:8" ht="21" customHeight="1">
      <c r="A310" s="232"/>
      <c r="B310" s="233"/>
      <c r="C310" s="233"/>
      <c r="D310" s="233"/>
      <c r="E310" s="540"/>
      <c r="F310" s="234"/>
      <c r="G310" s="231"/>
      <c r="H310" s="1"/>
    </row>
    <row r="311" spans="1:8" ht="21" customHeight="1" thickBot="1">
      <c r="A311" s="235"/>
      <c r="B311" s="236"/>
      <c r="C311" s="236"/>
      <c r="D311" s="237"/>
      <c r="E311" s="541"/>
      <c r="F311" s="238">
        <f>SUM(F302:F305)</f>
        <v>1302923.7000000002</v>
      </c>
      <c r="G311" s="238">
        <f>SUM(G302:G306)</f>
        <v>1302923.7000000002</v>
      </c>
      <c r="H311" s="1"/>
    </row>
    <row r="312" spans="1:8" ht="21" customHeight="1" thickTop="1">
      <c r="A312" s="217" t="s">
        <v>90</v>
      </c>
      <c r="B312" s="240" t="s">
        <v>580</v>
      </c>
      <c r="C312" s="241"/>
      <c r="D312" s="242"/>
      <c r="E312" s="524"/>
      <c r="F312" s="171"/>
      <c r="G312" s="530"/>
      <c r="H312" s="1"/>
    </row>
    <row r="313" spans="1:8" ht="21" customHeight="1">
      <c r="A313" s="217"/>
      <c r="B313" s="240"/>
      <c r="C313" s="241"/>
      <c r="D313" s="242"/>
      <c r="E313" s="524"/>
      <c r="F313" s="171"/>
      <c r="G313" s="243"/>
      <c r="H313" s="1"/>
    </row>
    <row r="314" spans="1:8" ht="21" customHeight="1">
      <c r="A314" s="217"/>
      <c r="B314" s="407" t="s">
        <v>392</v>
      </c>
      <c r="C314" s="546" t="s">
        <v>583</v>
      </c>
      <c r="D314" s="170" t="s">
        <v>1</v>
      </c>
      <c r="E314" s="524" t="s">
        <v>5</v>
      </c>
      <c r="F314" s="171" t="s">
        <v>594</v>
      </c>
      <c r="G314" s="653" t="s">
        <v>70</v>
      </c>
      <c r="H314" s="1"/>
    </row>
    <row r="315" spans="1:8" ht="21" customHeight="1">
      <c r="A315" s="158" t="s">
        <v>581</v>
      </c>
      <c r="B315" s="407">
        <v>7</v>
      </c>
      <c r="C315" s="248">
        <f>507406.4+300</f>
        <v>507706.4</v>
      </c>
      <c r="D315" s="248">
        <f>8217.3+15000+15000+27000+9000+9000</f>
        <v>83217.3</v>
      </c>
      <c r="E315" s="248"/>
      <c r="F315" s="171">
        <v>12000</v>
      </c>
      <c r="G315" s="243">
        <f>SUM(C315:F315)</f>
        <v>602923.7000000001</v>
      </c>
      <c r="H315" s="1"/>
    </row>
    <row r="316" spans="1:8" ht="21" customHeight="1">
      <c r="A316" s="158" t="s">
        <v>582</v>
      </c>
      <c r="B316" s="407">
        <v>2</v>
      </c>
      <c r="C316" s="241"/>
      <c r="D316" s="242"/>
      <c r="E316" s="524">
        <f>F321</f>
        <v>700000</v>
      </c>
      <c r="F316" s="171"/>
      <c r="G316" s="243">
        <f>SUM(C316:F316)</f>
        <v>700000</v>
      </c>
      <c r="H316" s="1"/>
    </row>
    <row r="317" spans="1:8" ht="21" customHeight="1">
      <c r="A317" s="217"/>
      <c r="B317" s="240"/>
      <c r="C317" s="241"/>
      <c r="D317" s="242"/>
      <c r="E317" s="524"/>
      <c r="F317" s="171"/>
      <c r="G317" s="243"/>
      <c r="H317" s="1"/>
    </row>
    <row r="318" spans="1:8" ht="21" customHeight="1">
      <c r="A318" s="217" t="s">
        <v>113</v>
      </c>
      <c r="B318" s="248" t="s">
        <v>593</v>
      </c>
      <c r="C318" s="171" t="s">
        <v>589</v>
      </c>
      <c r="D318" s="242"/>
      <c r="E318" s="524"/>
      <c r="F318" s="171">
        <v>200000</v>
      </c>
      <c r="G318" s="243" t="s">
        <v>591</v>
      </c>
      <c r="H318" s="1"/>
    </row>
    <row r="319" spans="1:8" ht="21" customHeight="1">
      <c r="A319" s="245"/>
      <c r="B319" s="528"/>
      <c r="C319" s="171" t="s">
        <v>590</v>
      </c>
      <c r="D319" s="170"/>
      <c r="E319" s="524"/>
      <c r="F319" s="171">
        <v>500000</v>
      </c>
      <c r="G319" s="654" t="s">
        <v>592</v>
      </c>
      <c r="H319" s="1"/>
    </row>
    <row r="320" spans="1:8" ht="21" customHeight="1">
      <c r="A320" s="245"/>
      <c r="B320" s="246"/>
      <c r="C320" s="171"/>
      <c r="D320" s="170"/>
      <c r="E320" s="524"/>
      <c r="F320" s="171"/>
      <c r="G320" s="654"/>
      <c r="H320" s="1"/>
    </row>
    <row r="321" spans="1:8" ht="21" customHeight="1">
      <c r="A321" s="245"/>
      <c r="B321" s="240"/>
      <c r="C321" s="247"/>
      <c r="D321" s="170"/>
      <c r="E321" s="526"/>
      <c r="F321" s="220">
        <f>SUM(F318:F320)</f>
        <v>700000</v>
      </c>
      <c r="G321" s="243"/>
      <c r="H321" s="1"/>
    </row>
    <row r="322" spans="1:8" ht="21" customHeight="1">
      <c r="A322" s="245"/>
      <c r="B322" s="240"/>
      <c r="C322" s="249"/>
      <c r="D322" s="170"/>
      <c r="E322" s="524"/>
      <c r="F322" s="171"/>
      <c r="G322" s="243"/>
      <c r="H322" s="1"/>
    </row>
    <row r="323" spans="1:8" ht="21" customHeight="1">
      <c r="A323" s="711" t="s">
        <v>34</v>
      </c>
      <c r="B323" s="712"/>
      <c r="C323" s="741" t="s">
        <v>439</v>
      </c>
      <c r="D323" s="742"/>
      <c r="E323" s="743"/>
      <c r="F323" s="734" t="s">
        <v>440</v>
      </c>
      <c r="G323" s="735"/>
      <c r="H323" s="1"/>
    </row>
    <row r="324" spans="1:8" ht="21" customHeight="1">
      <c r="A324" s="586"/>
      <c r="B324" s="588"/>
      <c r="C324" s="419"/>
      <c r="D324" s="254"/>
      <c r="E324" s="566"/>
      <c r="F324" s="592"/>
      <c r="G324" s="593"/>
      <c r="H324" s="1"/>
    </row>
    <row r="325" spans="1:8" ht="21" customHeight="1">
      <c r="A325" s="586"/>
      <c r="B325" s="588"/>
      <c r="C325" s="419"/>
      <c r="D325" s="171"/>
      <c r="E325" s="591"/>
      <c r="F325" s="419"/>
      <c r="G325" s="593"/>
      <c r="H325" s="1"/>
    </row>
    <row r="326" spans="1:8" ht="21" customHeight="1">
      <c r="A326" s="714" t="s">
        <v>441</v>
      </c>
      <c r="B326" s="715"/>
      <c r="C326" s="729" t="s">
        <v>564</v>
      </c>
      <c r="D326" s="736"/>
      <c r="E326" s="730"/>
      <c r="F326" s="729" t="s">
        <v>441</v>
      </c>
      <c r="G326" s="730"/>
      <c r="H326" s="1"/>
    </row>
    <row r="327" spans="1:8" ht="21" customHeight="1">
      <c r="A327" s="716" t="s">
        <v>442</v>
      </c>
      <c r="B327" s="717"/>
      <c r="C327" s="738" t="s">
        <v>563</v>
      </c>
      <c r="D327" s="739"/>
      <c r="E327" s="740"/>
      <c r="F327" s="731" t="s">
        <v>442</v>
      </c>
      <c r="G327" s="732"/>
      <c r="H327" s="1"/>
    </row>
    <row r="328" spans="4:8" ht="21" customHeight="1">
      <c r="D328" s="1"/>
      <c r="E328" s="1"/>
      <c r="F328" s="1"/>
      <c r="G328" s="1"/>
      <c r="H328" s="1"/>
    </row>
    <row r="329" spans="4:8" ht="21" customHeight="1">
      <c r="D329" s="1"/>
      <c r="E329" s="1"/>
      <c r="F329" s="1"/>
      <c r="G329" s="1"/>
      <c r="H329" s="1"/>
    </row>
    <row r="330" spans="4:8" ht="21" customHeight="1">
      <c r="D330" s="1"/>
      <c r="E330" s="1"/>
      <c r="F330" s="1"/>
      <c r="G330" s="1"/>
      <c r="H330" s="1"/>
    </row>
    <row r="331" spans="4:8" ht="21" customHeight="1">
      <c r="D331" s="1"/>
      <c r="E331" s="1"/>
      <c r="F331" s="1"/>
      <c r="G331" s="1"/>
      <c r="H331" s="1"/>
    </row>
    <row r="332" spans="4:8" ht="21" customHeight="1">
      <c r="D332" s="1"/>
      <c r="E332" s="1"/>
      <c r="F332" s="1"/>
      <c r="G332" s="1"/>
      <c r="H332" s="1"/>
    </row>
    <row r="333" spans="4:8" ht="21" customHeight="1">
      <c r="D333" s="1"/>
      <c r="E333" s="1"/>
      <c r="F333" s="1"/>
      <c r="G333" s="1"/>
      <c r="H333" s="1"/>
    </row>
    <row r="334" spans="4:8" ht="21" customHeight="1">
      <c r="D334" s="1"/>
      <c r="E334" s="1"/>
      <c r="F334" s="1"/>
      <c r="G334" s="1"/>
      <c r="H334" s="1"/>
    </row>
    <row r="335" spans="4:8" ht="21" customHeight="1">
      <c r="D335" s="1"/>
      <c r="E335" s="1"/>
      <c r="F335" s="1"/>
      <c r="G335" s="1"/>
      <c r="H335" s="1"/>
    </row>
    <row r="336" spans="4:8" ht="21" customHeight="1">
      <c r="D336" s="1"/>
      <c r="E336" s="1"/>
      <c r="F336" s="1"/>
      <c r="G336" s="1"/>
      <c r="H336" s="1"/>
    </row>
    <row r="337" spans="4:8" ht="21" customHeight="1">
      <c r="D337" s="1"/>
      <c r="E337" s="1"/>
      <c r="F337" s="1"/>
      <c r="G337" s="1"/>
      <c r="H337" s="1"/>
    </row>
    <row r="338" spans="4:8" ht="21" customHeight="1">
      <c r="D338" s="1"/>
      <c r="E338" s="1"/>
      <c r="F338" s="1"/>
      <c r="G338" s="1"/>
      <c r="H338" s="1"/>
    </row>
    <row r="339" spans="4:8" ht="21" customHeight="1">
      <c r="D339" s="1"/>
      <c r="E339" s="1"/>
      <c r="F339" s="1"/>
      <c r="G339" s="1"/>
      <c r="H339" s="1"/>
    </row>
    <row r="340" spans="6:8" ht="21" customHeight="1">
      <c r="F340" s="737" t="s">
        <v>505</v>
      </c>
      <c r="G340" s="737"/>
      <c r="H340" s="1"/>
    </row>
    <row r="341" spans="5:8" ht="21" customHeight="1">
      <c r="E341" s="704" t="s">
        <v>575</v>
      </c>
      <c r="F341" s="704"/>
      <c r="G341" s="704"/>
      <c r="H341" s="1"/>
    </row>
    <row r="342" spans="1:8" ht="21" customHeight="1">
      <c r="A342" s="702" t="s">
        <v>89</v>
      </c>
      <c r="B342" s="702"/>
      <c r="C342" s="702"/>
      <c r="D342" s="702"/>
      <c r="E342" s="702"/>
      <c r="F342" s="702"/>
      <c r="G342" s="702"/>
      <c r="H342" s="1"/>
    </row>
    <row r="343" spans="1:8" ht="21" customHeight="1" thickBot="1">
      <c r="A343" s="174" t="s">
        <v>120</v>
      </c>
      <c r="B343" s="174"/>
      <c r="C343" s="174"/>
      <c r="D343" s="223"/>
      <c r="H343" s="1"/>
    </row>
    <row r="344" spans="1:8" ht="21" customHeight="1" thickBot="1">
      <c r="A344" s="727" t="s">
        <v>52</v>
      </c>
      <c r="B344" s="744"/>
      <c r="C344" s="744"/>
      <c r="D344" s="745"/>
      <c r="E344" s="538" t="s">
        <v>47</v>
      </c>
      <c r="F344" s="225" t="s">
        <v>9</v>
      </c>
      <c r="G344" s="226" t="s">
        <v>10</v>
      </c>
      <c r="H344" s="1"/>
    </row>
    <row r="345" spans="1:8" ht="21" customHeight="1">
      <c r="A345" s="650" t="s">
        <v>584</v>
      </c>
      <c r="B345" s="186"/>
      <c r="C345" s="186"/>
      <c r="D345" s="186"/>
      <c r="E345" s="539"/>
      <c r="F345" s="227">
        <v>598483.78</v>
      </c>
      <c r="G345" s="228"/>
      <c r="H345" s="1"/>
    </row>
    <row r="346" spans="1:8" ht="21" customHeight="1">
      <c r="A346" s="185" t="s">
        <v>97</v>
      </c>
      <c r="B346" s="186"/>
      <c r="C346" s="186"/>
      <c r="E346" s="540"/>
      <c r="F346" s="230">
        <f>152667+152667</f>
        <v>305334</v>
      </c>
      <c r="G346" s="231"/>
      <c r="H346" s="1"/>
    </row>
    <row r="347" spans="1:8" ht="21" customHeight="1">
      <c r="A347" s="232"/>
      <c r="B347" s="1" t="s">
        <v>7</v>
      </c>
      <c r="C347" s="233"/>
      <c r="D347" s="233"/>
      <c r="E347" s="540"/>
      <c r="F347" s="230"/>
      <c r="G347" s="231">
        <f>F345+F346</f>
        <v>903817.78</v>
      </c>
      <c r="H347" s="1"/>
    </row>
    <row r="348" spans="1:8" ht="21" customHeight="1">
      <c r="A348" s="232"/>
      <c r="B348" s="233"/>
      <c r="C348" s="233"/>
      <c r="D348" s="233"/>
      <c r="E348" s="540"/>
      <c r="F348" s="230"/>
      <c r="G348" s="231"/>
      <c r="H348" s="1"/>
    </row>
    <row r="349" spans="1:8" ht="21" customHeight="1">
      <c r="A349" s="232"/>
      <c r="B349" s="233"/>
      <c r="C349" s="233"/>
      <c r="D349" s="233"/>
      <c r="E349" s="540"/>
      <c r="F349" s="230"/>
      <c r="G349" s="231"/>
      <c r="H349" s="1"/>
    </row>
    <row r="350" spans="1:8" ht="21" customHeight="1">
      <c r="A350" s="232"/>
      <c r="B350" s="233"/>
      <c r="C350" s="233"/>
      <c r="D350" s="233"/>
      <c r="E350" s="540"/>
      <c r="F350" s="230"/>
      <c r="G350" s="231"/>
      <c r="H350" s="1"/>
    </row>
    <row r="351" spans="1:8" ht="21" customHeight="1">
      <c r="A351" s="232"/>
      <c r="B351" s="233"/>
      <c r="C351" s="233"/>
      <c r="D351" s="233"/>
      <c r="E351" s="540"/>
      <c r="F351" s="234"/>
      <c r="G351" s="231"/>
      <c r="H351" s="1"/>
    </row>
    <row r="352" spans="1:8" ht="21" customHeight="1">
      <c r="A352" s="232"/>
      <c r="B352" s="233"/>
      <c r="C352" s="233"/>
      <c r="D352" s="233"/>
      <c r="E352" s="540"/>
      <c r="F352" s="234"/>
      <c r="G352" s="231"/>
      <c r="H352" s="1"/>
    </row>
    <row r="353" spans="1:8" ht="21" customHeight="1" thickBot="1">
      <c r="A353" s="235"/>
      <c r="B353" s="236"/>
      <c r="C353" s="236"/>
      <c r="D353" s="237"/>
      <c r="E353" s="541"/>
      <c r="F353" s="238">
        <f>SUM(F345:F347)</f>
        <v>903817.78</v>
      </c>
      <c r="G353" s="238">
        <f>SUM(G345:G348)</f>
        <v>903817.78</v>
      </c>
      <c r="H353" s="1"/>
    </row>
    <row r="354" spans="1:8" ht="21" customHeight="1" thickTop="1">
      <c r="A354" s="217" t="s">
        <v>90</v>
      </c>
      <c r="B354" s="240" t="s">
        <v>586</v>
      </c>
      <c r="C354" s="241"/>
      <c r="D354" s="242"/>
      <c r="E354" s="524"/>
      <c r="F354" s="171"/>
      <c r="G354" s="530"/>
      <c r="H354" s="1"/>
    </row>
    <row r="355" spans="1:8" ht="21" customHeight="1">
      <c r="A355" s="217"/>
      <c r="B355" s="240" t="s">
        <v>587</v>
      </c>
      <c r="C355" s="241"/>
      <c r="D355" s="242"/>
      <c r="E355" s="524"/>
      <c r="F355" s="171"/>
      <c r="G355" s="243"/>
      <c r="H355" s="1"/>
    </row>
    <row r="356" spans="1:8" ht="21" customHeight="1">
      <c r="A356" s="217"/>
      <c r="B356" s="240" t="s">
        <v>585</v>
      </c>
      <c r="C356" s="241"/>
      <c r="D356" s="242"/>
      <c r="E356" s="524"/>
      <c r="F356" s="171"/>
      <c r="G356" s="243"/>
      <c r="H356" s="1"/>
    </row>
    <row r="357" spans="1:8" ht="21" customHeight="1">
      <c r="A357" s="217"/>
      <c r="B357" s="240" t="s">
        <v>588</v>
      </c>
      <c r="C357" s="241"/>
      <c r="D357" s="242"/>
      <c r="E357" s="524"/>
      <c r="F357" s="171"/>
      <c r="G357" s="243"/>
      <c r="H357" s="1"/>
    </row>
    <row r="358" spans="1:8" ht="21" customHeight="1">
      <c r="A358" s="217"/>
      <c r="B358" s="240"/>
      <c r="C358" s="241"/>
      <c r="D358" s="242"/>
      <c r="E358" s="524"/>
      <c r="F358" s="171"/>
      <c r="G358" s="243"/>
      <c r="H358" s="1"/>
    </row>
    <row r="359" spans="1:8" ht="21" customHeight="1">
      <c r="A359" s="217"/>
      <c r="B359" s="240"/>
      <c r="C359" s="241"/>
      <c r="D359" s="242"/>
      <c r="E359" s="524"/>
      <c r="F359" s="171"/>
      <c r="G359" s="243"/>
      <c r="H359" s="1"/>
    </row>
    <row r="360" spans="1:8" ht="21" customHeight="1">
      <c r="A360" s="244"/>
      <c r="B360" s="240"/>
      <c r="C360" s="241"/>
      <c r="D360" s="242"/>
      <c r="E360" s="524"/>
      <c r="F360" s="171"/>
      <c r="G360" s="243"/>
      <c r="H360" s="1"/>
    </row>
    <row r="361" spans="1:8" ht="21" customHeight="1">
      <c r="A361" s="245"/>
      <c r="B361" s="528"/>
      <c r="C361" s="528"/>
      <c r="D361" s="170"/>
      <c r="E361" s="524"/>
      <c r="F361" s="171"/>
      <c r="G361" s="243"/>
      <c r="H361" s="1"/>
    </row>
    <row r="362" spans="1:8" ht="21" customHeight="1">
      <c r="A362" s="245"/>
      <c r="B362" s="246"/>
      <c r="C362" s="246"/>
      <c r="D362" s="170"/>
      <c r="E362" s="524"/>
      <c r="F362" s="171"/>
      <c r="G362" s="243"/>
      <c r="H362" s="1"/>
    </row>
    <row r="363" spans="1:8" ht="21" customHeight="1">
      <c r="A363" s="245"/>
      <c r="B363" s="240"/>
      <c r="C363" s="247"/>
      <c r="D363" s="170"/>
      <c r="E363" s="526"/>
      <c r="F363" s="171"/>
      <c r="G363" s="243"/>
      <c r="H363" s="1"/>
    </row>
    <row r="364" spans="1:8" ht="21" customHeight="1">
      <c r="A364" s="245"/>
      <c r="B364" s="240"/>
      <c r="C364" s="249"/>
      <c r="D364" s="170"/>
      <c r="E364" s="524"/>
      <c r="F364" s="171"/>
      <c r="G364" s="243"/>
      <c r="H364" s="1"/>
    </row>
    <row r="365" spans="1:8" ht="21" customHeight="1">
      <c r="A365" s="711" t="s">
        <v>34</v>
      </c>
      <c r="B365" s="712"/>
      <c r="C365" s="741" t="s">
        <v>439</v>
      </c>
      <c r="D365" s="742"/>
      <c r="E365" s="743"/>
      <c r="F365" s="734" t="s">
        <v>440</v>
      </c>
      <c r="G365" s="735"/>
      <c r="H365" s="1"/>
    </row>
    <row r="366" spans="1:8" ht="21" customHeight="1">
      <c r="A366" s="586"/>
      <c r="B366" s="588"/>
      <c r="C366" s="419"/>
      <c r="D366" s="254"/>
      <c r="E366" s="566"/>
      <c r="F366" s="592"/>
      <c r="G366" s="593"/>
      <c r="H366" s="1"/>
    </row>
    <row r="367" spans="1:8" ht="21" customHeight="1">
      <c r="A367" s="586"/>
      <c r="B367" s="588"/>
      <c r="C367" s="419"/>
      <c r="D367" s="171"/>
      <c r="E367" s="591"/>
      <c r="F367" s="419"/>
      <c r="G367" s="593"/>
      <c r="H367" s="1"/>
    </row>
    <row r="368" spans="1:8" ht="21" customHeight="1">
      <c r="A368" s="714" t="s">
        <v>441</v>
      </c>
      <c r="B368" s="715"/>
      <c r="C368" s="729" t="s">
        <v>564</v>
      </c>
      <c r="D368" s="736"/>
      <c r="E368" s="730"/>
      <c r="F368" s="729" t="s">
        <v>441</v>
      </c>
      <c r="G368" s="730"/>
      <c r="H368" s="1"/>
    </row>
    <row r="369" spans="1:8" ht="21" customHeight="1">
      <c r="A369" s="716" t="s">
        <v>442</v>
      </c>
      <c r="B369" s="717"/>
      <c r="C369" s="738" t="s">
        <v>563</v>
      </c>
      <c r="D369" s="739"/>
      <c r="E369" s="740"/>
      <c r="F369" s="731" t="s">
        <v>442</v>
      </c>
      <c r="G369" s="732"/>
      <c r="H369" s="1"/>
    </row>
    <row r="370" spans="4:8" ht="21" customHeight="1">
      <c r="D370" s="1"/>
      <c r="E370" s="1"/>
      <c r="F370" s="1"/>
      <c r="G370" s="1"/>
      <c r="H370" s="1"/>
    </row>
    <row r="371" spans="4:8" ht="21" customHeight="1">
      <c r="D371" s="1"/>
      <c r="E371" s="1"/>
      <c r="F371" s="1"/>
      <c r="G371" s="1"/>
      <c r="H371" s="1"/>
    </row>
    <row r="372" spans="4:8" ht="21" customHeight="1">
      <c r="D372" s="1"/>
      <c r="E372" s="1"/>
      <c r="F372" s="1"/>
      <c r="G372" s="1"/>
      <c r="H372" s="1"/>
    </row>
    <row r="373" spans="4:8" ht="21" customHeight="1">
      <c r="D373" s="1"/>
      <c r="E373" s="1"/>
      <c r="F373" s="1"/>
      <c r="G373" s="1"/>
      <c r="H373" s="1"/>
    </row>
    <row r="374" spans="4:8" ht="21" customHeight="1">
      <c r="D374" s="1"/>
      <c r="E374" s="1"/>
      <c r="F374" s="1"/>
      <c r="G374" s="1"/>
      <c r="H374" s="1"/>
    </row>
    <row r="375" spans="4:8" ht="21" customHeight="1">
      <c r="D375" s="1"/>
      <c r="E375" s="1"/>
      <c r="F375" s="1"/>
      <c r="G375" s="1"/>
      <c r="H375" s="1"/>
    </row>
    <row r="376" spans="4:8" ht="21" customHeight="1">
      <c r="D376" s="1"/>
      <c r="E376" s="1"/>
      <c r="F376" s="1"/>
      <c r="G376" s="1"/>
      <c r="H376" s="1"/>
    </row>
    <row r="377" spans="4:8" ht="21" customHeight="1">
      <c r="D377" s="1"/>
      <c r="E377" s="1"/>
      <c r="F377" s="1"/>
      <c r="G377" s="1"/>
      <c r="H377" s="1"/>
    </row>
    <row r="378" spans="4:8" ht="21" customHeight="1">
      <c r="D378" s="1"/>
      <c r="E378" s="1"/>
      <c r="F378" s="1"/>
      <c r="G378" s="1"/>
      <c r="H378" s="1"/>
    </row>
    <row r="379" spans="4:8" ht="21" customHeight="1">
      <c r="D379" s="1"/>
      <c r="E379" s="1"/>
      <c r="F379" s="1"/>
      <c r="G379" s="1"/>
      <c r="H379" s="1"/>
    </row>
    <row r="380" spans="6:8" ht="21" customHeight="1">
      <c r="F380" s="737" t="s">
        <v>505</v>
      </c>
      <c r="G380" s="737"/>
      <c r="H380" s="1"/>
    </row>
    <row r="381" spans="5:8" ht="21" customHeight="1">
      <c r="E381" s="704" t="s">
        <v>595</v>
      </c>
      <c r="F381" s="704"/>
      <c r="G381" s="704"/>
      <c r="H381" s="1"/>
    </row>
    <row r="382" spans="1:8" ht="21" customHeight="1">
      <c r="A382" s="702" t="s">
        <v>89</v>
      </c>
      <c r="B382" s="702"/>
      <c r="C382" s="702"/>
      <c r="D382" s="702"/>
      <c r="E382" s="702"/>
      <c r="F382" s="702"/>
      <c r="G382" s="702"/>
      <c r="H382" s="1"/>
    </row>
    <row r="383" spans="1:8" ht="21" customHeight="1" thickBot="1">
      <c r="A383" s="174" t="s">
        <v>120</v>
      </c>
      <c r="B383" s="174"/>
      <c r="C383" s="174"/>
      <c r="D383" s="223"/>
      <c r="H383" s="1"/>
    </row>
    <row r="384" spans="1:8" ht="21" customHeight="1" thickBot="1">
      <c r="A384" s="727" t="s">
        <v>52</v>
      </c>
      <c r="B384" s="744"/>
      <c r="C384" s="744"/>
      <c r="D384" s="745"/>
      <c r="E384" s="538" t="s">
        <v>47</v>
      </c>
      <c r="F384" s="225" t="s">
        <v>9</v>
      </c>
      <c r="G384" s="226" t="s">
        <v>10</v>
      </c>
      <c r="H384" s="1"/>
    </row>
    <row r="385" spans="1:8" ht="21" customHeight="1">
      <c r="A385" s="650" t="s">
        <v>596</v>
      </c>
      <c r="B385" s="186"/>
      <c r="C385" s="186"/>
      <c r="D385" s="186"/>
      <c r="E385" s="656" t="s">
        <v>597</v>
      </c>
      <c r="F385" s="227">
        <v>27330</v>
      </c>
      <c r="G385" s="228"/>
      <c r="H385" s="1"/>
    </row>
    <row r="386" spans="1:8" ht="21" customHeight="1">
      <c r="A386" s="185"/>
      <c r="B386" s="186" t="s">
        <v>6</v>
      </c>
      <c r="C386" s="186"/>
      <c r="E386" s="544" t="s">
        <v>257</v>
      </c>
      <c r="F386" s="230">
        <v>0</v>
      </c>
      <c r="G386" s="231">
        <v>27330</v>
      </c>
      <c r="H386" s="1"/>
    </row>
    <row r="387" spans="1:8" ht="21" customHeight="1">
      <c r="A387" s="232"/>
      <c r="C387" s="233"/>
      <c r="D387" s="233"/>
      <c r="E387" s="540"/>
      <c r="F387" s="230"/>
      <c r="G387" s="231"/>
      <c r="H387" s="1"/>
    </row>
    <row r="388" spans="1:8" ht="21" customHeight="1">
      <c r="A388" s="232"/>
      <c r="B388" s="233"/>
      <c r="C388" s="233"/>
      <c r="D388" s="233"/>
      <c r="E388" s="540"/>
      <c r="F388" s="230"/>
      <c r="G388" s="231"/>
      <c r="H388" s="1"/>
    </row>
    <row r="389" spans="1:8" ht="21" customHeight="1">
      <c r="A389" s="232"/>
      <c r="B389" s="233"/>
      <c r="C389" s="233"/>
      <c r="D389" s="233"/>
      <c r="E389" s="540"/>
      <c r="F389" s="230"/>
      <c r="G389" s="231"/>
      <c r="H389" s="1"/>
    </row>
    <row r="390" spans="1:8" ht="21" customHeight="1">
      <c r="A390" s="232"/>
      <c r="B390" s="233"/>
      <c r="C390" s="233"/>
      <c r="D390" s="233"/>
      <c r="E390" s="540"/>
      <c r="F390" s="230"/>
      <c r="G390" s="231"/>
      <c r="H390" s="1"/>
    </row>
    <row r="391" spans="1:8" ht="21" customHeight="1">
      <c r="A391" s="232"/>
      <c r="B391" s="233"/>
      <c r="C391" s="233"/>
      <c r="D391" s="233"/>
      <c r="E391" s="540"/>
      <c r="F391" s="234"/>
      <c r="G391" s="231"/>
      <c r="H391" s="1"/>
    </row>
    <row r="392" spans="1:8" ht="21" customHeight="1">
      <c r="A392" s="232"/>
      <c r="B392" s="233"/>
      <c r="C392" s="233"/>
      <c r="D392" s="233"/>
      <c r="E392" s="540"/>
      <c r="F392" s="234"/>
      <c r="G392" s="231"/>
      <c r="H392" s="1"/>
    </row>
    <row r="393" spans="1:8" ht="21" customHeight="1" thickBot="1">
      <c r="A393" s="235"/>
      <c r="B393" s="236"/>
      <c r="C393" s="236"/>
      <c r="D393" s="237"/>
      <c r="E393" s="541"/>
      <c r="F393" s="238">
        <f>SUM(F385:F387)</f>
        <v>27330</v>
      </c>
      <c r="G393" s="238">
        <f>SUM(G385:G388)</f>
        <v>27330</v>
      </c>
      <c r="H393" s="1"/>
    </row>
    <row r="394" spans="1:8" ht="21" customHeight="1" thickTop="1">
      <c r="A394" s="217" t="s">
        <v>90</v>
      </c>
      <c r="B394" s="240" t="s">
        <v>598</v>
      </c>
      <c r="C394" s="241"/>
      <c r="D394" s="242"/>
      <c r="E394" s="524"/>
      <c r="F394" s="171"/>
      <c r="G394" s="530"/>
      <c r="H394" s="1"/>
    </row>
    <row r="395" spans="1:8" ht="21" customHeight="1">
      <c r="A395" s="217"/>
      <c r="B395" s="240"/>
      <c r="C395" s="241"/>
      <c r="D395" s="242"/>
      <c r="E395" s="524"/>
      <c r="F395" s="171"/>
      <c r="G395" s="243"/>
      <c r="H395" s="1"/>
    </row>
    <row r="396" spans="1:8" ht="21" customHeight="1">
      <c r="A396" s="217"/>
      <c r="B396" s="240"/>
      <c r="C396" s="241"/>
      <c r="D396" s="242"/>
      <c r="E396" s="524"/>
      <c r="F396" s="171"/>
      <c r="G396" s="243"/>
      <c r="H396" s="1"/>
    </row>
    <row r="397" spans="1:8" ht="21" customHeight="1">
      <c r="A397" s="217"/>
      <c r="B397" s="240"/>
      <c r="C397" s="241"/>
      <c r="D397" s="242"/>
      <c r="E397" s="524"/>
      <c r="F397" s="171"/>
      <c r="G397" s="243"/>
      <c r="H397" s="1"/>
    </row>
    <row r="398" spans="1:8" ht="21" customHeight="1">
      <c r="A398" s="217"/>
      <c r="B398" s="240"/>
      <c r="C398" s="241"/>
      <c r="D398" s="242"/>
      <c r="E398" s="524"/>
      <c r="F398" s="171"/>
      <c r="G398" s="243"/>
      <c r="H398" s="1"/>
    </row>
    <row r="399" spans="1:8" ht="21" customHeight="1">
      <c r="A399" s="217"/>
      <c r="B399" s="240"/>
      <c r="C399" s="241"/>
      <c r="D399" s="242"/>
      <c r="E399" s="524"/>
      <c r="F399" s="171"/>
      <c r="G399" s="243"/>
      <c r="H399" s="1"/>
    </row>
    <row r="400" spans="1:8" ht="21" customHeight="1">
      <c r="A400" s="244"/>
      <c r="B400" s="240"/>
      <c r="C400" s="241"/>
      <c r="D400" s="242"/>
      <c r="E400" s="524"/>
      <c r="F400" s="171"/>
      <c r="G400" s="243"/>
      <c r="H400" s="1"/>
    </row>
    <row r="401" spans="1:8" ht="21" customHeight="1">
      <c r="A401" s="245"/>
      <c r="B401" s="528"/>
      <c r="C401" s="528"/>
      <c r="D401" s="170"/>
      <c r="E401" s="524"/>
      <c r="F401" s="171"/>
      <c r="G401" s="243"/>
      <c r="H401" s="1"/>
    </row>
    <row r="402" spans="1:8" ht="21" customHeight="1">
      <c r="A402" s="245"/>
      <c r="B402" s="246"/>
      <c r="C402" s="246"/>
      <c r="D402" s="170"/>
      <c r="E402" s="524"/>
      <c r="F402" s="171"/>
      <c r="G402" s="243"/>
      <c r="H402" s="1"/>
    </row>
    <row r="403" spans="1:8" ht="21" customHeight="1">
      <c r="A403" s="245"/>
      <c r="B403" s="240"/>
      <c r="C403" s="247"/>
      <c r="D403" s="170"/>
      <c r="E403" s="526"/>
      <c r="F403" s="171"/>
      <c r="G403" s="243"/>
      <c r="H403" s="1"/>
    </row>
    <row r="404" spans="1:8" ht="21" customHeight="1">
      <c r="A404" s="245"/>
      <c r="B404" s="240"/>
      <c r="C404" s="249"/>
      <c r="D404" s="170"/>
      <c r="E404" s="524"/>
      <c r="F404" s="171"/>
      <c r="G404" s="243"/>
      <c r="H404" s="1"/>
    </row>
    <row r="405" spans="1:8" ht="21" customHeight="1">
      <c r="A405" s="711" t="s">
        <v>34</v>
      </c>
      <c r="B405" s="712"/>
      <c r="C405" s="741" t="s">
        <v>439</v>
      </c>
      <c r="D405" s="742"/>
      <c r="E405" s="743"/>
      <c r="F405" s="734" t="s">
        <v>440</v>
      </c>
      <c r="G405" s="735"/>
      <c r="H405" s="1"/>
    </row>
    <row r="406" spans="1:8" ht="21" customHeight="1">
      <c r="A406" s="586"/>
      <c r="B406" s="588"/>
      <c r="C406" s="419"/>
      <c r="D406" s="254"/>
      <c r="E406" s="566"/>
      <c r="F406" s="592"/>
      <c r="G406" s="593"/>
      <c r="H406" s="1"/>
    </row>
    <row r="407" spans="1:8" ht="21" customHeight="1">
      <c r="A407" s="586"/>
      <c r="B407" s="588"/>
      <c r="C407" s="419"/>
      <c r="D407" s="171"/>
      <c r="E407" s="591"/>
      <c r="F407" s="419"/>
      <c r="G407" s="593"/>
      <c r="H407" s="1"/>
    </row>
    <row r="408" spans="1:8" ht="21" customHeight="1">
      <c r="A408" s="714" t="s">
        <v>441</v>
      </c>
      <c r="B408" s="715"/>
      <c r="C408" s="729" t="s">
        <v>564</v>
      </c>
      <c r="D408" s="736"/>
      <c r="E408" s="730"/>
      <c r="F408" s="729" t="s">
        <v>441</v>
      </c>
      <c r="G408" s="730"/>
      <c r="H408" s="1"/>
    </row>
    <row r="409" spans="1:8" ht="21" customHeight="1">
      <c r="A409" s="716" t="s">
        <v>442</v>
      </c>
      <c r="B409" s="717"/>
      <c r="C409" s="738" t="s">
        <v>563</v>
      </c>
      <c r="D409" s="739"/>
      <c r="E409" s="740"/>
      <c r="F409" s="731" t="s">
        <v>442</v>
      </c>
      <c r="G409" s="732"/>
      <c r="H409" s="1"/>
    </row>
    <row r="410" spans="4:8" ht="21" customHeight="1">
      <c r="D410" s="1"/>
      <c r="E410" s="1"/>
      <c r="F410" s="1"/>
      <c r="G410" s="1"/>
      <c r="H410" s="1"/>
    </row>
    <row r="411" spans="4:8" ht="21" customHeight="1">
      <c r="D411" s="1"/>
      <c r="E411" s="1"/>
      <c r="F411" s="1"/>
      <c r="G411" s="1"/>
      <c r="H411" s="1"/>
    </row>
    <row r="412" spans="4:8" ht="21" customHeight="1">
      <c r="D412" s="1"/>
      <c r="E412" s="1"/>
      <c r="F412" s="1"/>
      <c r="G412" s="1"/>
      <c r="H412" s="1"/>
    </row>
    <row r="413" spans="4:8" ht="21" customHeight="1">
      <c r="D413" s="1"/>
      <c r="E413" s="1"/>
      <c r="F413" s="1"/>
      <c r="G413" s="1"/>
      <c r="H413" s="1"/>
    </row>
    <row r="414" spans="4:8" ht="21" customHeight="1">
      <c r="D414" s="1"/>
      <c r="E414" s="1"/>
      <c r="F414" s="1"/>
      <c r="G414" s="1"/>
      <c r="H414" s="1"/>
    </row>
    <row r="415" spans="4:8" ht="21" customHeight="1">
      <c r="D415" s="1"/>
      <c r="E415" s="1"/>
      <c r="F415" s="1"/>
      <c r="G415" s="1"/>
      <c r="H415" s="1"/>
    </row>
    <row r="416" spans="4:8" ht="21" customHeight="1">
      <c r="D416" s="1"/>
      <c r="E416" s="1"/>
      <c r="F416" s="1"/>
      <c r="G416" s="1"/>
      <c r="H416" s="1"/>
    </row>
    <row r="417" spans="4:8" ht="21" customHeight="1">
      <c r="D417" s="1"/>
      <c r="E417" s="1"/>
      <c r="F417" s="1"/>
      <c r="G417" s="1"/>
      <c r="H417" s="1"/>
    </row>
    <row r="418" spans="4:8" ht="21" customHeight="1">
      <c r="D418" s="1"/>
      <c r="E418" s="1"/>
      <c r="F418" s="1"/>
      <c r="G418" s="1"/>
      <c r="H418" s="1"/>
    </row>
    <row r="419" spans="4:8" ht="21" customHeight="1">
      <c r="D419" s="1"/>
      <c r="E419" s="1"/>
      <c r="F419" s="1"/>
      <c r="G419" s="1"/>
      <c r="H419" s="1"/>
    </row>
    <row r="420" spans="4:8" ht="21" customHeight="1">
      <c r="D420" s="1"/>
      <c r="E420" s="1"/>
      <c r="F420" s="1"/>
      <c r="G420" s="1"/>
      <c r="H420" s="1"/>
    </row>
    <row r="421" spans="4:8" ht="21" customHeight="1">
      <c r="D421" s="1"/>
      <c r="E421" s="1"/>
      <c r="F421" s="1"/>
      <c r="G421" s="1"/>
      <c r="H421" s="1"/>
    </row>
    <row r="422" spans="6:8" ht="21" customHeight="1">
      <c r="F422" s="737" t="s">
        <v>505</v>
      </c>
      <c r="G422" s="737"/>
      <c r="H422" s="1"/>
    </row>
    <row r="423" spans="5:8" ht="21" customHeight="1">
      <c r="E423" s="704" t="s">
        <v>595</v>
      </c>
      <c r="F423" s="704"/>
      <c r="G423" s="704"/>
      <c r="H423" s="1"/>
    </row>
    <row r="424" spans="1:8" ht="21" customHeight="1">
      <c r="A424" s="702" t="s">
        <v>89</v>
      </c>
      <c r="B424" s="702"/>
      <c r="C424" s="702"/>
      <c r="D424" s="702"/>
      <c r="E424" s="702"/>
      <c r="F424" s="702"/>
      <c r="G424" s="702"/>
      <c r="H424" s="1"/>
    </row>
    <row r="425" spans="1:8" ht="21" customHeight="1" thickBot="1">
      <c r="A425" s="174" t="s">
        <v>120</v>
      </c>
      <c r="B425" s="174"/>
      <c r="C425" s="174"/>
      <c r="D425" s="223"/>
      <c r="H425" s="1"/>
    </row>
    <row r="426" spans="1:8" ht="21" customHeight="1" thickBot="1">
      <c r="A426" s="727" t="s">
        <v>52</v>
      </c>
      <c r="B426" s="744"/>
      <c r="C426" s="744"/>
      <c r="D426" s="745"/>
      <c r="E426" s="538" t="s">
        <v>47</v>
      </c>
      <c r="F426" s="225" t="s">
        <v>9</v>
      </c>
      <c r="G426" s="226" t="s">
        <v>10</v>
      </c>
      <c r="H426" s="1"/>
    </row>
    <row r="427" spans="1:8" ht="21" customHeight="1">
      <c r="A427" s="650" t="s">
        <v>1</v>
      </c>
      <c r="B427" s="186"/>
      <c r="C427" s="186"/>
      <c r="D427" s="186"/>
      <c r="E427" s="397">
        <v>532000</v>
      </c>
      <c r="F427" s="227">
        <v>2184</v>
      </c>
      <c r="G427" s="228"/>
      <c r="H427" s="1"/>
    </row>
    <row r="428" spans="1:8" ht="21" customHeight="1">
      <c r="A428" s="185"/>
      <c r="B428" s="186" t="s">
        <v>599</v>
      </c>
      <c r="C428" s="186"/>
      <c r="E428" s="540" t="s">
        <v>600</v>
      </c>
      <c r="F428" s="230">
        <v>0</v>
      </c>
      <c r="G428" s="231">
        <v>2184</v>
      </c>
      <c r="H428" s="1"/>
    </row>
    <row r="429" spans="1:8" ht="21" customHeight="1">
      <c r="A429" s="232"/>
      <c r="C429" s="233"/>
      <c r="D429" s="233"/>
      <c r="E429" s="540"/>
      <c r="F429" s="230"/>
      <c r="G429" s="231"/>
      <c r="H429" s="1"/>
    </row>
    <row r="430" spans="1:8" ht="21" customHeight="1">
      <c r="A430" s="232"/>
      <c r="B430" s="233"/>
      <c r="C430" s="233"/>
      <c r="D430" s="233"/>
      <c r="E430" s="540"/>
      <c r="F430" s="230"/>
      <c r="G430" s="231"/>
      <c r="H430" s="1"/>
    </row>
    <row r="431" spans="1:8" ht="21" customHeight="1">
      <c r="A431" s="232"/>
      <c r="B431" s="233"/>
      <c r="C431" s="233"/>
      <c r="D431" s="233"/>
      <c r="E431" s="540"/>
      <c r="F431" s="230"/>
      <c r="G431" s="231"/>
      <c r="H431" s="1"/>
    </row>
    <row r="432" spans="1:8" ht="21" customHeight="1">
      <c r="A432" s="232"/>
      <c r="B432" s="233"/>
      <c r="C432" s="233"/>
      <c r="D432" s="233"/>
      <c r="E432" s="540"/>
      <c r="F432" s="230"/>
      <c r="G432" s="231"/>
      <c r="H432" s="1"/>
    </row>
    <row r="433" spans="1:8" ht="21" customHeight="1">
      <c r="A433" s="232"/>
      <c r="B433" s="233"/>
      <c r="C433" s="233"/>
      <c r="D433" s="233"/>
      <c r="E433" s="540"/>
      <c r="F433" s="234"/>
      <c r="G433" s="231"/>
      <c r="H433" s="1"/>
    </row>
    <row r="434" spans="1:8" ht="21" customHeight="1">
      <c r="A434" s="232"/>
      <c r="B434" s="233"/>
      <c r="C434" s="233"/>
      <c r="D434" s="233"/>
      <c r="E434" s="540"/>
      <c r="F434" s="234"/>
      <c r="G434" s="231"/>
      <c r="H434" s="1"/>
    </row>
    <row r="435" spans="1:8" ht="21" customHeight="1" thickBot="1">
      <c r="A435" s="235"/>
      <c r="B435" s="236"/>
      <c r="C435" s="236"/>
      <c r="D435" s="237"/>
      <c r="E435" s="541"/>
      <c r="F435" s="238">
        <f>SUM(F427:F429)</f>
        <v>2184</v>
      </c>
      <c r="G435" s="238">
        <f>SUM(G427:G430)</f>
        <v>2184</v>
      </c>
      <c r="H435" s="1"/>
    </row>
    <row r="436" spans="1:8" ht="21" customHeight="1" thickTop="1">
      <c r="A436" s="217" t="s">
        <v>90</v>
      </c>
      <c r="B436" s="240" t="s">
        <v>601</v>
      </c>
      <c r="C436" s="241"/>
      <c r="D436" s="242"/>
      <c r="E436" s="524"/>
      <c r="F436" s="171"/>
      <c r="G436" s="530"/>
      <c r="H436" s="1"/>
    </row>
    <row r="437" spans="1:8" ht="21" customHeight="1">
      <c r="A437" s="217"/>
      <c r="B437" s="240"/>
      <c r="C437" s="241"/>
      <c r="D437" s="242"/>
      <c r="E437" s="524"/>
      <c r="F437" s="171"/>
      <c r="G437" s="243"/>
      <c r="H437" s="1"/>
    </row>
    <row r="438" spans="1:8" ht="21" customHeight="1">
      <c r="A438" s="217"/>
      <c r="B438" s="240"/>
      <c r="C438" s="241"/>
      <c r="D438" s="242"/>
      <c r="E438" s="524"/>
      <c r="F438" s="171"/>
      <c r="G438" s="243"/>
      <c r="H438" s="1"/>
    </row>
    <row r="439" spans="1:8" ht="21" customHeight="1">
      <c r="A439" s="217"/>
      <c r="B439" s="240"/>
      <c r="C439" s="241"/>
      <c r="D439" s="242"/>
      <c r="E439" s="524"/>
      <c r="F439" s="171"/>
      <c r="G439" s="243"/>
      <c r="H439" s="1"/>
    </row>
    <row r="440" spans="1:8" ht="21" customHeight="1">
      <c r="A440" s="217"/>
      <c r="B440" s="240"/>
      <c r="C440" s="241"/>
      <c r="D440" s="242"/>
      <c r="E440" s="524"/>
      <c r="F440" s="171"/>
      <c r="G440" s="243"/>
      <c r="H440" s="1"/>
    </row>
    <row r="441" spans="1:8" ht="21" customHeight="1">
      <c r="A441" s="217"/>
      <c r="B441" s="240"/>
      <c r="C441" s="241"/>
      <c r="D441" s="242"/>
      <c r="E441" s="524"/>
      <c r="F441" s="171"/>
      <c r="G441" s="243"/>
      <c r="H441" s="1"/>
    </row>
    <row r="442" spans="1:8" ht="21" customHeight="1">
      <c r="A442" s="244"/>
      <c r="B442" s="240"/>
      <c r="C442" s="241"/>
      <c r="D442" s="242"/>
      <c r="E442" s="524"/>
      <c r="F442" s="171"/>
      <c r="G442" s="243"/>
      <c r="H442" s="1"/>
    </row>
    <row r="443" spans="1:8" ht="21" customHeight="1">
      <c r="A443" s="245"/>
      <c r="B443" s="528"/>
      <c r="C443" s="528"/>
      <c r="D443" s="170"/>
      <c r="E443" s="524"/>
      <c r="F443" s="171"/>
      <c r="G443" s="243"/>
      <c r="H443" s="1"/>
    </row>
    <row r="444" spans="1:8" ht="21" customHeight="1">
      <c r="A444" s="245"/>
      <c r="B444" s="246"/>
      <c r="C444" s="246"/>
      <c r="D444" s="170"/>
      <c r="E444" s="524"/>
      <c r="F444" s="171"/>
      <c r="G444" s="243"/>
      <c r="H444" s="1"/>
    </row>
    <row r="445" spans="1:8" ht="21" customHeight="1">
      <c r="A445" s="245"/>
      <c r="B445" s="240"/>
      <c r="C445" s="247"/>
      <c r="D445" s="170"/>
      <c r="E445" s="526"/>
      <c r="F445" s="171"/>
      <c r="G445" s="243"/>
      <c r="H445" s="1"/>
    </row>
    <row r="446" spans="1:8" ht="21" customHeight="1">
      <c r="A446" s="245"/>
      <c r="B446" s="240"/>
      <c r="C446" s="249"/>
      <c r="D446" s="170"/>
      <c r="E446" s="524"/>
      <c r="F446" s="171"/>
      <c r="G446" s="243"/>
      <c r="H446" s="1"/>
    </row>
    <row r="447" spans="1:8" ht="21" customHeight="1">
      <c r="A447" s="711" t="s">
        <v>34</v>
      </c>
      <c r="B447" s="712"/>
      <c r="C447" s="741" t="s">
        <v>439</v>
      </c>
      <c r="D447" s="742"/>
      <c r="E447" s="743"/>
      <c r="F447" s="734" t="s">
        <v>440</v>
      </c>
      <c r="G447" s="735"/>
      <c r="H447" s="1"/>
    </row>
    <row r="448" spans="1:8" ht="21" customHeight="1">
      <c r="A448" s="586"/>
      <c r="B448" s="588"/>
      <c r="C448" s="419"/>
      <c r="D448" s="254"/>
      <c r="E448" s="566"/>
      <c r="F448" s="592"/>
      <c r="G448" s="593"/>
      <c r="H448" s="1"/>
    </row>
    <row r="449" spans="1:8" ht="21" customHeight="1">
      <c r="A449" s="586"/>
      <c r="B449" s="588"/>
      <c r="C449" s="419"/>
      <c r="D449" s="171"/>
      <c r="E449" s="591"/>
      <c r="F449" s="419"/>
      <c r="G449" s="593"/>
      <c r="H449" s="1"/>
    </row>
    <row r="450" spans="1:8" ht="21" customHeight="1">
      <c r="A450" s="714" t="s">
        <v>441</v>
      </c>
      <c r="B450" s="715"/>
      <c r="C450" s="729" t="s">
        <v>564</v>
      </c>
      <c r="D450" s="736"/>
      <c r="E450" s="730"/>
      <c r="F450" s="729" t="s">
        <v>441</v>
      </c>
      <c r="G450" s="730"/>
      <c r="H450" s="1"/>
    </row>
    <row r="451" spans="1:8" ht="21" customHeight="1">
      <c r="A451" s="716" t="s">
        <v>442</v>
      </c>
      <c r="B451" s="717"/>
      <c r="C451" s="738" t="s">
        <v>563</v>
      </c>
      <c r="D451" s="739"/>
      <c r="E451" s="740"/>
      <c r="F451" s="731" t="s">
        <v>442</v>
      </c>
      <c r="G451" s="732"/>
      <c r="H451" s="1"/>
    </row>
    <row r="452" spans="4:8" ht="21" customHeight="1">
      <c r="D452" s="1"/>
      <c r="E452" s="1"/>
      <c r="F452" s="1"/>
      <c r="G452" s="1"/>
      <c r="H452" s="1"/>
    </row>
    <row r="453" spans="4:8" ht="21" customHeight="1">
      <c r="D453" s="1"/>
      <c r="E453" s="1"/>
      <c r="F453" s="1"/>
      <c r="G453" s="1"/>
      <c r="H453" s="1"/>
    </row>
    <row r="454" spans="4:8" ht="21" customHeight="1">
      <c r="D454" s="1"/>
      <c r="E454" s="1"/>
      <c r="F454" s="1"/>
      <c r="G454" s="1"/>
      <c r="H454" s="1"/>
    </row>
    <row r="455" spans="4:8" ht="21" customHeight="1">
      <c r="D455" s="1"/>
      <c r="E455" s="1"/>
      <c r="F455" s="1"/>
      <c r="G455" s="1"/>
      <c r="H455" s="1"/>
    </row>
    <row r="456" spans="4:8" ht="21" customHeight="1">
      <c r="D456" s="1"/>
      <c r="E456" s="1"/>
      <c r="F456" s="1"/>
      <c r="G456" s="1"/>
      <c r="H456" s="1"/>
    </row>
    <row r="457" spans="4:8" ht="21" customHeight="1">
      <c r="D457" s="1"/>
      <c r="E457" s="1"/>
      <c r="F457" s="1"/>
      <c r="G457" s="1"/>
      <c r="H457" s="1"/>
    </row>
    <row r="458" spans="4:8" ht="21" customHeight="1">
      <c r="D458" s="1"/>
      <c r="E458" s="1"/>
      <c r="F458" s="1"/>
      <c r="G458" s="1"/>
      <c r="H458" s="1"/>
    </row>
    <row r="459" spans="4:8" ht="21" customHeight="1">
      <c r="D459" s="1"/>
      <c r="E459" s="1"/>
      <c r="F459" s="1"/>
      <c r="G459" s="1"/>
      <c r="H459" s="1"/>
    </row>
    <row r="460" spans="4:8" ht="21" customHeight="1">
      <c r="D460" s="1"/>
      <c r="E460" s="1"/>
      <c r="F460" s="1"/>
      <c r="G460" s="1"/>
      <c r="H460" s="1"/>
    </row>
    <row r="461" spans="4:8" ht="21" customHeight="1">
      <c r="D461" s="1"/>
      <c r="E461" s="1"/>
      <c r="F461" s="1"/>
      <c r="G461" s="1"/>
      <c r="H461" s="1"/>
    </row>
    <row r="462" spans="4:8" ht="21" customHeight="1">
      <c r="D462" s="1"/>
      <c r="E462" s="1"/>
      <c r="F462" s="1"/>
      <c r="G462" s="1"/>
      <c r="H462" s="1"/>
    </row>
    <row r="463" spans="4:8" ht="21" customHeight="1">
      <c r="D463" s="1"/>
      <c r="E463" s="1"/>
      <c r="F463" s="1"/>
      <c r="G463" s="1"/>
      <c r="H463" s="1"/>
    </row>
    <row r="464" spans="6:8" ht="21" customHeight="1">
      <c r="F464" s="737" t="s">
        <v>505</v>
      </c>
      <c r="G464" s="737"/>
      <c r="H464" s="1"/>
    </row>
    <row r="465" spans="5:8" ht="21" customHeight="1">
      <c r="E465" s="704" t="s">
        <v>595</v>
      </c>
      <c r="F465" s="704"/>
      <c r="G465" s="704"/>
      <c r="H465" s="1"/>
    </row>
    <row r="466" spans="1:8" ht="21" customHeight="1">
      <c r="A466" s="702" t="s">
        <v>89</v>
      </c>
      <c r="B466" s="702"/>
      <c r="C466" s="702"/>
      <c r="D466" s="702"/>
      <c r="E466" s="702"/>
      <c r="F466" s="702"/>
      <c r="G466" s="702"/>
      <c r="H466" s="1"/>
    </row>
    <row r="467" spans="1:8" ht="21" customHeight="1" thickBot="1">
      <c r="A467" s="174" t="s">
        <v>120</v>
      </c>
      <c r="B467" s="174"/>
      <c r="C467" s="174"/>
      <c r="D467" s="223"/>
      <c r="H467" s="1"/>
    </row>
    <row r="468" spans="1:8" ht="21" customHeight="1" thickBot="1">
      <c r="A468" s="727" t="s">
        <v>52</v>
      </c>
      <c r="B468" s="744"/>
      <c r="C468" s="744"/>
      <c r="D468" s="745"/>
      <c r="E468" s="538" t="s">
        <v>47</v>
      </c>
      <c r="F468" s="225" t="s">
        <v>9</v>
      </c>
      <c r="G468" s="226" t="s">
        <v>10</v>
      </c>
      <c r="H468" s="1"/>
    </row>
    <row r="469" spans="1:8" ht="21" customHeight="1">
      <c r="A469" s="650" t="s">
        <v>302</v>
      </c>
      <c r="B469" s="233"/>
      <c r="C469" s="186"/>
      <c r="D469" s="186"/>
      <c r="E469" s="656" t="s">
        <v>597</v>
      </c>
      <c r="F469" s="227">
        <v>27330</v>
      </c>
      <c r="G469" s="228"/>
      <c r="H469" s="1"/>
    </row>
    <row r="470" spans="1:8" ht="21" customHeight="1">
      <c r="A470" s="185"/>
      <c r="B470" s="178" t="s">
        <v>596</v>
      </c>
      <c r="C470" s="186"/>
      <c r="E470" s="544" t="s">
        <v>257</v>
      </c>
      <c r="F470" s="230">
        <v>0</v>
      </c>
      <c r="G470" s="231">
        <v>27330</v>
      </c>
      <c r="H470" s="1"/>
    </row>
    <row r="471" spans="1:8" ht="21" customHeight="1">
      <c r="A471" s="232"/>
      <c r="C471" s="233"/>
      <c r="D471" s="233"/>
      <c r="E471" s="540"/>
      <c r="F471" s="230"/>
      <c r="G471" s="231"/>
      <c r="H471" s="1"/>
    </row>
    <row r="472" spans="1:8" ht="21" customHeight="1">
      <c r="A472" s="232"/>
      <c r="B472" s="233"/>
      <c r="C472" s="233"/>
      <c r="D472" s="233"/>
      <c r="E472" s="540"/>
      <c r="F472" s="230"/>
      <c r="G472" s="231"/>
      <c r="H472" s="1"/>
    </row>
    <row r="473" spans="1:8" ht="21" customHeight="1">
      <c r="A473" s="232"/>
      <c r="B473" s="233"/>
      <c r="C473" s="233"/>
      <c r="D473" s="233"/>
      <c r="E473" s="540"/>
      <c r="F473" s="230"/>
      <c r="G473" s="231"/>
      <c r="H473" s="1"/>
    </row>
    <row r="474" spans="1:8" ht="21" customHeight="1">
      <c r="A474" s="232"/>
      <c r="B474" s="233"/>
      <c r="C474" s="233"/>
      <c r="D474" s="233"/>
      <c r="E474" s="540"/>
      <c r="F474" s="230"/>
      <c r="G474" s="231"/>
      <c r="H474" s="1"/>
    </row>
    <row r="475" spans="1:8" ht="21" customHeight="1">
      <c r="A475" s="232"/>
      <c r="B475" s="233"/>
      <c r="C475" s="233"/>
      <c r="D475" s="233"/>
      <c r="E475" s="540"/>
      <c r="F475" s="234"/>
      <c r="G475" s="231"/>
      <c r="H475" s="1"/>
    </row>
    <row r="476" spans="1:8" ht="21" customHeight="1">
      <c r="A476" s="232"/>
      <c r="B476" s="233"/>
      <c r="C476" s="233"/>
      <c r="D476" s="233"/>
      <c r="E476" s="540"/>
      <c r="F476" s="234"/>
      <c r="G476" s="231"/>
      <c r="H476" s="1"/>
    </row>
    <row r="477" spans="1:8" ht="21" customHeight="1" thickBot="1">
      <c r="A477" s="235"/>
      <c r="B477" s="236"/>
      <c r="C477" s="236"/>
      <c r="D477" s="237"/>
      <c r="E477" s="541"/>
      <c r="F477" s="238">
        <f>SUM(F469:F471)</f>
        <v>27330</v>
      </c>
      <c r="G477" s="238">
        <f>SUM(G469:G472)</f>
        <v>27330</v>
      </c>
      <c r="H477" s="1"/>
    </row>
    <row r="478" spans="1:8" ht="21" customHeight="1" thickTop="1">
      <c r="A478" s="217" t="s">
        <v>90</v>
      </c>
      <c r="B478" s="240" t="s">
        <v>598</v>
      </c>
      <c r="C478" s="241"/>
      <c r="D478" s="242"/>
      <c r="E478" s="524"/>
      <c r="F478" s="171"/>
      <c r="G478" s="530"/>
      <c r="H478" s="1"/>
    </row>
    <row r="479" spans="1:8" ht="21" customHeight="1">
      <c r="A479" s="217"/>
      <c r="B479" s="240"/>
      <c r="C479" s="241"/>
      <c r="D479" s="242"/>
      <c r="E479" s="524"/>
      <c r="F479" s="171"/>
      <c r="G479" s="243"/>
      <c r="H479" s="1"/>
    </row>
    <row r="480" spans="1:8" ht="21" customHeight="1">
      <c r="A480" s="217"/>
      <c r="B480" s="240"/>
      <c r="C480" s="241"/>
      <c r="D480" s="242"/>
      <c r="E480" s="524"/>
      <c r="F480" s="171"/>
      <c r="G480" s="243"/>
      <c r="H480" s="1"/>
    </row>
    <row r="481" spans="1:8" ht="21" customHeight="1">
      <c r="A481" s="217"/>
      <c r="B481" s="240"/>
      <c r="C481" s="241"/>
      <c r="D481" s="242"/>
      <c r="E481" s="524"/>
      <c r="F481" s="171"/>
      <c r="G481" s="243"/>
      <c r="H481" s="1"/>
    </row>
    <row r="482" spans="1:8" ht="21" customHeight="1">
      <c r="A482" s="217"/>
      <c r="B482" s="240"/>
      <c r="C482" s="241"/>
      <c r="D482" s="242"/>
      <c r="E482" s="524"/>
      <c r="F482" s="171"/>
      <c r="G482" s="243"/>
      <c r="H482" s="1"/>
    </row>
    <row r="483" spans="1:8" ht="21" customHeight="1">
      <c r="A483" s="217"/>
      <c r="B483" s="240"/>
      <c r="C483" s="241"/>
      <c r="D483" s="242"/>
      <c r="E483" s="524"/>
      <c r="F483" s="171"/>
      <c r="G483" s="243"/>
      <c r="H483" s="1"/>
    </row>
    <row r="484" spans="1:8" ht="21" customHeight="1">
      <c r="A484" s="244"/>
      <c r="B484" s="240"/>
      <c r="C484" s="241"/>
      <c r="D484" s="242"/>
      <c r="E484" s="524"/>
      <c r="F484" s="171"/>
      <c r="G484" s="243"/>
      <c r="H484" s="1"/>
    </row>
    <row r="485" spans="1:8" ht="21" customHeight="1">
      <c r="A485" s="245"/>
      <c r="B485" s="528"/>
      <c r="C485" s="528"/>
      <c r="D485" s="170"/>
      <c r="E485" s="524"/>
      <c r="F485" s="171"/>
      <c r="G485" s="243"/>
      <c r="H485" s="1"/>
    </row>
    <row r="486" spans="1:8" ht="21" customHeight="1">
      <c r="A486" s="245"/>
      <c r="B486" s="246"/>
      <c r="C486" s="246"/>
      <c r="D486" s="170"/>
      <c r="E486" s="524"/>
      <c r="F486" s="171"/>
      <c r="G486" s="243"/>
      <c r="H486" s="1"/>
    </row>
    <row r="487" spans="1:8" ht="21" customHeight="1">
      <c r="A487" s="245"/>
      <c r="B487" s="240"/>
      <c r="C487" s="247"/>
      <c r="D487" s="170"/>
      <c r="E487" s="526"/>
      <c r="F487" s="171"/>
      <c r="G487" s="243"/>
      <c r="H487" s="1"/>
    </row>
    <row r="488" spans="1:8" ht="21" customHeight="1">
      <c r="A488" s="245"/>
      <c r="B488" s="240"/>
      <c r="C488" s="249"/>
      <c r="D488" s="170"/>
      <c r="E488" s="524"/>
      <c r="F488" s="171"/>
      <c r="G488" s="243"/>
      <c r="H488" s="1"/>
    </row>
    <row r="489" spans="1:8" ht="21" customHeight="1">
      <c r="A489" s="711" t="s">
        <v>34</v>
      </c>
      <c r="B489" s="712"/>
      <c r="C489" s="741" t="s">
        <v>439</v>
      </c>
      <c r="D489" s="742"/>
      <c r="E489" s="743"/>
      <c r="F489" s="734" t="s">
        <v>440</v>
      </c>
      <c r="G489" s="735"/>
      <c r="H489" s="1"/>
    </row>
    <row r="490" spans="1:8" ht="21" customHeight="1">
      <c r="A490" s="586"/>
      <c r="B490" s="588"/>
      <c r="C490" s="419"/>
      <c r="D490" s="254"/>
      <c r="E490" s="566"/>
      <c r="F490" s="592"/>
      <c r="G490" s="593"/>
      <c r="H490" s="1"/>
    </row>
    <row r="491" spans="1:8" ht="21" customHeight="1">
      <c r="A491" s="586"/>
      <c r="B491" s="588"/>
      <c r="C491" s="419"/>
      <c r="D491" s="171"/>
      <c r="E491" s="591"/>
      <c r="F491" s="419"/>
      <c r="G491" s="593"/>
      <c r="H491" s="1"/>
    </row>
    <row r="492" spans="1:8" ht="21" customHeight="1">
      <c r="A492" s="714" t="s">
        <v>441</v>
      </c>
      <c r="B492" s="715"/>
      <c r="C492" s="729" t="s">
        <v>564</v>
      </c>
      <c r="D492" s="736"/>
      <c r="E492" s="730"/>
      <c r="F492" s="729" t="s">
        <v>441</v>
      </c>
      <c r="G492" s="730"/>
      <c r="H492" s="1"/>
    </row>
    <row r="493" spans="1:8" ht="21" customHeight="1">
      <c r="A493" s="716" t="s">
        <v>442</v>
      </c>
      <c r="B493" s="717"/>
      <c r="C493" s="738" t="s">
        <v>563</v>
      </c>
      <c r="D493" s="739"/>
      <c r="E493" s="740"/>
      <c r="F493" s="731" t="s">
        <v>442</v>
      </c>
      <c r="G493" s="732"/>
      <c r="H493" s="1"/>
    </row>
    <row r="494" spans="4:8" ht="21" customHeight="1">
      <c r="D494" s="1"/>
      <c r="E494" s="1"/>
      <c r="F494" s="1"/>
      <c r="G494" s="1"/>
      <c r="H494" s="1"/>
    </row>
    <row r="495" spans="4:8" ht="21" customHeight="1">
      <c r="D495" s="1"/>
      <c r="E495" s="1"/>
      <c r="F495" s="1"/>
      <c r="G495" s="1"/>
      <c r="H495" s="1"/>
    </row>
    <row r="496" spans="4:8" ht="21" customHeight="1">
      <c r="D496" s="1"/>
      <c r="E496" s="1"/>
      <c r="F496" s="1"/>
      <c r="G496" s="1"/>
      <c r="H496" s="1"/>
    </row>
    <row r="497" spans="4:8" ht="21" customHeight="1">
      <c r="D497" s="1"/>
      <c r="E497" s="1"/>
      <c r="F497" s="1"/>
      <c r="G497" s="1"/>
      <c r="H497" s="1"/>
    </row>
    <row r="498" spans="4:8" ht="21" customHeight="1">
      <c r="D498" s="1"/>
      <c r="E498" s="1"/>
      <c r="F498" s="1"/>
      <c r="G498" s="1"/>
      <c r="H498" s="1"/>
    </row>
    <row r="499" spans="4:8" ht="21" customHeight="1">
      <c r="D499" s="1"/>
      <c r="E499" s="1"/>
      <c r="F499" s="1"/>
      <c r="G499" s="1"/>
      <c r="H499" s="1"/>
    </row>
    <row r="500" spans="4:8" ht="21" customHeight="1">
      <c r="D500" s="1"/>
      <c r="E500" s="1"/>
      <c r="F500" s="1"/>
      <c r="G500" s="1"/>
      <c r="H500" s="1"/>
    </row>
    <row r="501" spans="4:8" ht="21" customHeight="1">
      <c r="D501" s="1"/>
      <c r="E501" s="1"/>
      <c r="F501" s="1"/>
      <c r="G501" s="1"/>
      <c r="H501" s="1"/>
    </row>
    <row r="502" spans="4:8" ht="21" customHeight="1">
      <c r="D502" s="1"/>
      <c r="E502" s="1"/>
      <c r="F502" s="1"/>
      <c r="G502" s="1"/>
      <c r="H502" s="1"/>
    </row>
    <row r="503" spans="4:8" ht="21" customHeight="1">
      <c r="D503" s="1"/>
      <c r="E503" s="1"/>
      <c r="F503" s="1"/>
      <c r="G503" s="1"/>
      <c r="H503" s="1"/>
    </row>
    <row r="504" spans="4:8" ht="21" customHeight="1">
      <c r="D504" s="1"/>
      <c r="E504" s="1"/>
      <c r="F504" s="1"/>
      <c r="G504" s="1"/>
      <c r="H504" s="1"/>
    </row>
    <row r="505" spans="4:8" ht="21" customHeight="1">
      <c r="D505" s="1"/>
      <c r="E505" s="1"/>
      <c r="F505" s="1"/>
      <c r="G505" s="1"/>
      <c r="H505" s="1"/>
    </row>
    <row r="506" spans="4:8" ht="21" customHeight="1">
      <c r="D506" s="1"/>
      <c r="E506" s="1"/>
      <c r="F506" s="1"/>
      <c r="G506" s="1"/>
      <c r="H506" s="1"/>
    </row>
    <row r="507" spans="6:8" ht="21" customHeight="1">
      <c r="F507" s="737" t="s">
        <v>483</v>
      </c>
      <c r="G507" s="737"/>
      <c r="H507" s="1"/>
    </row>
    <row r="508" spans="5:8" ht="21" customHeight="1">
      <c r="E508" s="704" t="s">
        <v>473</v>
      </c>
      <c r="F508" s="704"/>
      <c r="G508" s="704"/>
      <c r="H508" s="1"/>
    </row>
    <row r="509" spans="1:8" ht="21" customHeight="1">
      <c r="A509" s="702" t="s">
        <v>89</v>
      </c>
      <c r="B509" s="702"/>
      <c r="C509" s="702"/>
      <c r="D509" s="702"/>
      <c r="E509" s="702"/>
      <c r="F509" s="702"/>
      <c r="G509" s="702"/>
      <c r="H509" s="1"/>
    </row>
    <row r="510" spans="1:8" ht="21" customHeight="1" thickBot="1">
      <c r="A510" s="174" t="s">
        <v>120</v>
      </c>
      <c r="B510" s="174"/>
      <c r="C510" s="174"/>
      <c r="D510" s="223"/>
      <c r="H510" s="1"/>
    </row>
    <row r="511" spans="1:8" ht="21" customHeight="1" thickBot="1">
      <c r="A511" s="727" t="s">
        <v>52</v>
      </c>
      <c r="B511" s="744"/>
      <c r="C511" s="744"/>
      <c r="D511" s="745"/>
      <c r="E511" s="538" t="s">
        <v>47</v>
      </c>
      <c r="F511" s="225" t="s">
        <v>9</v>
      </c>
      <c r="G511" s="226" t="s">
        <v>10</v>
      </c>
      <c r="H511" s="1"/>
    </row>
    <row r="512" spans="1:8" ht="21" customHeight="1">
      <c r="A512" s="185" t="s">
        <v>480</v>
      </c>
      <c r="B512" s="186"/>
      <c r="C512" s="186"/>
      <c r="D512" s="186"/>
      <c r="E512" s="623" t="s">
        <v>236</v>
      </c>
      <c r="F512" s="624">
        <v>300000</v>
      </c>
      <c r="G512" s="228"/>
      <c r="H512" s="1"/>
    </row>
    <row r="513" spans="1:8" ht="21" customHeight="1">
      <c r="A513" s="185"/>
      <c r="B513" s="186" t="s">
        <v>109</v>
      </c>
      <c r="C513" s="186"/>
      <c r="D513" s="186"/>
      <c r="E513" s="540" t="s">
        <v>236</v>
      </c>
      <c r="F513" s="540"/>
      <c r="G513" s="231">
        <v>300000</v>
      </c>
      <c r="H513" s="1"/>
    </row>
    <row r="514" spans="1:8" ht="21" customHeight="1">
      <c r="A514" s="232"/>
      <c r="B514" s="233"/>
      <c r="C514" s="233"/>
      <c r="D514" s="233"/>
      <c r="E514" s="540"/>
      <c r="F514" s="230"/>
      <c r="G514" s="231"/>
      <c r="H514" s="1"/>
    </row>
    <row r="515" spans="1:8" ht="21" customHeight="1">
      <c r="A515" s="232"/>
      <c r="B515" s="233"/>
      <c r="C515" s="233"/>
      <c r="D515" s="233"/>
      <c r="E515" s="540"/>
      <c r="F515" s="230"/>
      <c r="G515" s="231"/>
      <c r="H515" s="1"/>
    </row>
    <row r="516" spans="1:8" ht="21" customHeight="1">
      <c r="A516" s="232"/>
      <c r="B516" s="233"/>
      <c r="C516" s="233"/>
      <c r="D516" s="233"/>
      <c r="E516" s="540"/>
      <c r="F516" s="230"/>
      <c r="G516" s="231"/>
      <c r="H516" s="1"/>
    </row>
    <row r="517" spans="1:8" ht="21.75" customHeight="1">
      <c r="A517" s="232"/>
      <c r="B517" s="233"/>
      <c r="C517" s="233"/>
      <c r="D517" s="233"/>
      <c r="E517" s="540"/>
      <c r="F517" s="230"/>
      <c r="G517" s="231"/>
      <c r="H517" s="1"/>
    </row>
    <row r="518" spans="1:8" ht="19.5" customHeight="1">
      <c r="A518" s="232"/>
      <c r="B518" s="233"/>
      <c r="C518" s="233"/>
      <c r="D518" s="233"/>
      <c r="E518" s="540"/>
      <c r="F518" s="234"/>
      <c r="G518" s="231"/>
      <c r="H518" s="1"/>
    </row>
    <row r="519" spans="1:8" ht="19.5" customHeight="1">
      <c r="A519" s="232"/>
      <c r="B519" s="233"/>
      <c r="C519" s="233"/>
      <c r="D519" s="233"/>
      <c r="E519" s="540"/>
      <c r="F519" s="234"/>
      <c r="G519" s="231"/>
      <c r="H519" s="1"/>
    </row>
    <row r="520" spans="1:8" ht="19.5" customHeight="1" thickBot="1">
      <c r="A520" s="235"/>
      <c r="B520" s="236"/>
      <c r="C520" s="236"/>
      <c r="D520" s="237"/>
      <c r="E520" s="541"/>
      <c r="F520" s="238">
        <f>SUM(F512:F513)</f>
        <v>300000</v>
      </c>
      <c r="G520" s="239">
        <f>SUM(G513:G513)</f>
        <v>300000</v>
      </c>
      <c r="H520" s="1"/>
    </row>
    <row r="521" spans="1:8" ht="19.5" customHeight="1" thickTop="1">
      <c r="A521" s="217" t="s">
        <v>90</v>
      </c>
      <c r="B521" s="240" t="s">
        <v>481</v>
      </c>
      <c r="C521" s="241"/>
      <c r="D521" s="242"/>
      <c r="E521" s="524"/>
      <c r="F521" s="171"/>
      <c r="G521" s="596"/>
      <c r="H521" s="1"/>
    </row>
    <row r="522" spans="1:8" ht="19.5" customHeight="1">
      <c r="A522" s="244"/>
      <c r="B522" s="240" t="s">
        <v>167</v>
      </c>
      <c r="C522" s="241"/>
      <c r="D522" s="242"/>
      <c r="E522" s="524"/>
      <c r="F522" s="171"/>
      <c r="G522" s="593"/>
      <c r="H522" s="1"/>
    </row>
    <row r="523" spans="1:8" ht="19.5" customHeight="1">
      <c r="A523" s="245"/>
      <c r="B523" s="746" t="s">
        <v>482</v>
      </c>
      <c r="C523" s="746"/>
      <c r="D523" s="746"/>
      <c r="E523" s="170" t="s">
        <v>46</v>
      </c>
      <c r="F523" s="524">
        <v>300000</v>
      </c>
      <c r="G523" s="593" t="s">
        <v>30</v>
      </c>
      <c r="H523" s="1"/>
    </row>
    <row r="524" spans="1:8" ht="19.5" customHeight="1">
      <c r="A524" s="245"/>
      <c r="B524" s="240" t="s">
        <v>523</v>
      </c>
      <c r="C524" s="246"/>
      <c r="D524" s="246"/>
      <c r="E524" s="170"/>
      <c r="F524" s="526"/>
      <c r="G524" s="593"/>
      <c r="H524" s="1"/>
    </row>
    <row r="525" spans="1:8" ht="19.5" customHeight="1">
      <c r="A525" s="245"/>
      <c r="B525" s="522" t="s">
        <v>388</v>
      </c>
      <c r="C525" s="637" t="s">
        <v>525</v>
      </c>
      <c r="D525" s="246"/>
      <c r="E525" s="170"/>
      <c r="F525" s="524"/>
      <c r="G525" s="593"/>
      <c r="H525" s="1"/>
    </row>
    <row r="526" spans="1:8" ht="19.5" customHeight="1">
      <c r="A526" s="245"/>
      <c r="B526" s="522" t="s">
        <v>389</v>
      </c>
      <c r="C526" s="246"/>
      <c r="D526" s="246"/>
      <c r="E526" s="170"/>
      <c r="F526" s="524"/>
      <c r="G526" s="593"/>
      <c r="H526" s="1"/>
    </row>
    <row r="527" spans="1:8" ht="19.5" customHeight="1">
      <c r="A527" s="245"/>
      <c r="B527" s="528" t="s">
        <v>390</v>
      </c>
      <c r="C527" s="246"/>
      <c r="D527" s="246"/>
      <c r="E527" s="170"/>
      <c r="F527" s="526"/>
      <c r="G527" s="593"/>
      <c r="H527" s="1"/>
    </row>
    <row r="528" spans="1:8" ht="19.5" customHeight="1">
      <c r="A528" s="245"/>
      <c r="B528" s="527" t="s">
        <v>524</v>
      </c>
      <c r="C528" s="246"/>
      <c r="D528" s="246"/>
      <c r="E528" s="170"/>
      <c r="F528" s="526"/>
      <c r="G528" s="593"/>
      <c r="H528" s="1"/>
    </row>
    <row r="529" spans="1:8" ht="19.5" customHeight="1">
      <c r="A529" s="245"/>
      <c r="B529" s="522" t="s">
        <v>388</v>
      </c>
      <c r="C529" s="246" t="s">
        <v>526</v>
      </c>
      <c r="D529" s="246"/>
      <c r="E529" s="170"/>
      <c r="F529" s="526"/>
      <c r="G529" s="593"/>
      <c r="H529" s="1"/>
    </row>
    <row r="530" spans="1:8" ht="19.5" customHeight="1">
      <c r="A530" s="245"/>
      <c r="B530" s="522" t="s">
        <v>389</v>
      </c>
      <c r="C530" s="246"/>
      <c r="D530" s="246"/>
      <c r="E530" s="170"/>
      <c r="F530" s="526"/>
      <c r="G530" s="593"/>
      <c r="H530" s="1"/>
    </row>
    <row r="531" spans="1:8" ht="19.5" customHeight="1">
      <c r="A531" s="245"/>
      <c r="B531" s="528" t="s">
        <v>390</v>
      </c>
      <c r="C531" s="246"/>
      <c r="D531" s="246"/>
      <c r="E531" s="170"/>
      <c r="F531" s="526"/>
      <c r="G531" s="593"/>
      <c r="H531" s="1"/>
    </row>
    <row r="532" spans="1:8" ht="19.5" customHeight="1">
      <c r="A532" s="245"/>
      <c r="B532" s="240" t="s">
        <v>527</v>
      </c>
      <c r="C532" s="246"/>
      <c r="D532" s="246"/>
      <c r="E532" s="170"/>
      <c r="F532" s="526"/>
      <c r="G532" s="593"/>
      <c r="H532" s="1"/>
    </row>
    <row r="533" spans="1:8" ht="16.5" customHeight="1">
      <c r="A533" s="245"/>
      <c r="B533" s="240" t="s">
        <v>528</v>
      </c>
      <c r="C533" s="246"/>
      <c r="D533" s="246"/>
      <c r="E533" s="170"/>
      <c r="F533" s="526"/>
      <c r="G533" s="593"/>
      <c r="H533" s="1"/>
    </row>
    <row r="534" spans="1:8" ht="27" customHeight="1">
      <c r="A534" s="245"/>
      <c r="B534" s="159" t="s">
        <v>391</v>
      </c>
      <c r="C534" s="246"/>
      <c r="D534" s="246"/>
      <c r="E534" s="170"/>
      <c r="F534" s="526"/>
      <c r="G534" s="593"/>
      <c r="H534" s="1"/>
    </row>
    <row r="535" spans="1:8" ht="27" customHeight="1">
      <c r="A535" s="245"/>
      <c r="B535" s="527" t="s">
        <v>529</v>
      </c>
      <c r="C535" s="246"/>
      <c r="D535" s="246"/>
      <c r="E535" s="170"/>
      <c r="F535" s="526"/>
      <c r="G535" s="593"/>
      <c r="H535" s="1"/>
    </row>
    <row r="536" spans="1:8" ht="23.25" customHeight="1">
      <c r="A536" s="245"/>
      <c r="B536" s="638" t="s">
        <v>530</v>
      </c>
      <c r="C536" s="638"/>
      <c r="D536" s="638"/>
      <c r="E536" s="170"/>
      <c r="F536" s="526"/>
      <c r="G536" s="593"/>
      <c r="H536" s="1"/>
    </row>
    <row r="537" spans="1:8" ht="21" customHeight="1">
      <c r="A537" s="245"/>
      <c r="B537" s="522" t="s">
        <v>388</v>
      </c>
      <c r="C537" s="246" t="s">
        <v>531</v>
      </c>
      <c r="D537" s="246"/>
      <c r="E537" s="170"/>
      <c r="F537" s="526"/>
      <c r="G537" s="593"/>
      <c r="H537" s="1"/>
    </row>
    <row r="538" spans="1:8" ht="16.5" customHeight="1">
      <c r="A538" s="245"/>
      <c r="B538" s="522" t="s">
        <v>389</v>
      </c>
      <c r="C538" s="246"/>
      <c r="D538" s="246"/>
      <c r="E538" s="170"/>
      <c r="F538" s="526"/>
      <c r="G538" s="593"/>
      <c r="H538" s="1"/>
    </row>
    <row r="539" spans="1:8" ht="21" customHeight="1">
      <c r="A539" s="245"/>
      <c r="B539" s="528" t="s">
        <v>390</v>
      </c>
      <c r="C539" s="246"/>
      <c r="D539" s="246"/>
      <c r="E539" s="170"/>
      <c r="F539" s="526"/>
      <c r="G539" s="593"/>
      <c r="H539" s="1"/>
    </row>
    <row r="540" spans="1:8" ht="21" customHeight="1">
      <c r="A540" s="245"/>
      <c r="B540" s="638" t="s">
        <v>532</v>
      </c>
      <c r="C540" s="638"/>
      <c r="D540" s="638"/>
      <c r="E540" s="170"/>
      <c r="F540" s="526"/>
      <c r="G540" s="171"/>
      <c r="H540" s="1"/>
    </row>
    <row r="541" spans="1:8" ht="21" customHeight="1">
      <c r="A541" s="245"/>
      <c r="B541" s="159" t="s">
        <v>508</v>
      </c>
      <c r="C541" s="159"/>
      <c r="D541" s="159"/>
      <c r="E541" s="170" t="s">
        <v>46</v>
      </c>
      <c r="F541" s="526">
        <v>86270</v>
      </c>
      <c r="G541" s="593" t="s">
        <v>30</v>
      </c>
      <c r="H541" s="1"/>
    </row>
    <row r="542" spans="1:8" ht="21" customHeight="1">
      <c r="A542" s="245"/>
      <c r="B542" s="246" t="s">
        <v>509</v>
      </c>
      <c r="C542" s="246"/>
      <c r="D542" s="246"/>
      <c r="E542" s="170" t="s">
        <v>46</v>
      </c>
      <c r="F542" s="526">
        <v>60385</v>
      </c>
      <c r="G542" s="593" t="s">
        <v>30</v>
      </c>
      <c r="H542" s="1"/>
    </row>
    <row r="543" spans="1:8" ht="21" customHeight="1">
      <c r="A543" s="245"/>
      <c r="B543" s="627" t="s">
        <v>533</v>
      </c>
      <c r="D543" s="1"/>
      <c r="E543" s="170" t="s">
        <v>46</v>
      </c>
      <c r="F543" s="526">
        <v>1144400</v>
      </c>
      <c r="G543" s="593" t="s">
        <v>30</v>
      </c>
      <c r="H543" s="1"/>
    </row>
    <row r="544" spans="1:8" ht="21" customHeight="1">
      <c r="A544" s="245"/>
      <c r="B544" s="528" t="s">
        <v>534</v>
      </c>
      <c r="C544" s="528"/>
      <c r="D544" s="528"/>
      <c r="E544" s="170" t="s">
        <v>46</v>
      </c>
      <c r="F544" s="526">
        <v>213600</v>
      </c>
      <c r="G544" s="593" t="s">
        <v>30</v>
      </c>
      <c r="H544" s="1"/>
    </row>
    <row r="545" spans="1:8" ht="21" customHeight="1">
      <c r="A545" s="245"/>
      <c r="B545" s="528" t="s">
        <v>535</v>
      </c>
      <c r="C545" s="528"/>
      <c r="D545" s="528"/>
      <c r="E545" s="170" t="s">
        <v>46</v>
      </c>
      <c r="F545" s="526">
        <v>1164149.25</v>
      </c>
      <c r="G545" s="593" t="s">
        <v>30</v>
      </c>
      <c r="H545" s="1"/>
    </row>
    <row r="546" spans="1:8" ht="21" customHeight="1">
      <c r="A546" s="245"/>
      <c r="B546" s="627" t="s">
        <v>512</v>
      </c>
      <c r="C546" s="528"/>
      <c r="D546" s="528"/>
      <c r="E546" s="170" t="s">
        <v>46</v>
      </c>
      <c r="F546" s="526">
        <v>52500</v>
      </c>
      <c r="G546" s="593" t="s">
        <v>30</v>
      </c>
      <c r="H546" s="1"/>
    </row>
    <row r="547" spans="1:8" ht="21" customHeight="1">
      <c r="A547" s="245"/>
      <c r="B547" s="246" t="s">
        <v>506</v>
      </c>
      <c r="C547" s="528"/>
      <c r="D547" s="528"/>
      <c r="E547" s="170"/>
      <c r="F547" s="526"/>
      <c r="G547" s="593"/>
      <c r="H547" s="1"/>
    </row>
    <row r="548" spans="1:8" ht="21" customHeight="1">
      <c r="A548" s="245"/>
      <c r="B548" s="246" t="s">
        <v>507</v>
      </c>
      <c r="C548" s="253" t="s">
        <v>70</v>
      </c>
      <c r="D548" s="219"/>
      <c r="E548" s="590" t="e">
        <f>F520+F521+F522+F523+F524+F525+F536+F537+#REF!+F538+F539+F541+F542+F543+F544+F545+F546</f>
        <v>#REF!</v>
      </c>
      <c r="F548" s="171"/>
      <c r="G548" s="594"/>
      <c r="H548" s="1"/>
    </row>
    <row r="549" spans="6:8" ht="21" customHeight="1">
      <c r="F549" s="737" t="s">
        <v>505</v>
      </c>
      <c r="G549" s="737"/>
      <c r="H549" s="1"/>
    </row>
    <row r="550" spans="5:8" ht="21" customHeight="1">
      <c r="E550" s="704" t="s">
        <v>595</v>
      </c>
      <c r="F550" s="704"/>
      <c r="G550" s="704"/>
      <c r="H550" s="1"/>
    </row>
    <row r="551" spans="1:8" ht="21" customHeight="1">
      <c r="A551" s="702" t="s">
        <v>89</v>
      </c>
      <c r="B551" s="702"/>
      <c r="C551" s="702"/>
      <c r="D551" s="702"/>
      <c r="E551" s="702"/>
      <c r="F551" s="702"/>
      <c r="G551" s="702"/>
      <c r="H551" s="1"/>
    </row>
    <row r="552" spans="1:8" ht="21" customHeight="1" thickBot="1">
      <c r="A552" s="174" t="s">
        <v>120</v>
      </c>
      <c r="B552" s="174"/>
      <c r="C552" s="174"/>
      <c r="D552" s="223"/>
      <c r="H552" s="1"/>
    </row>
    <row r="553" spans="1:7" ht="21" customHeight="1" thickBot="1">
      <c r="A553" s="727" t="s">
        <v>52</v>
      </c>
      <c r="B553" s="744"/>
      <c r="C553" s="744"/>
      <c r="D553" s="745"/>
      <c r="E553" s="538" t="s">
        <v>47</v>
      </c>
      <c r="F553" s="225" t="s">
        <v>9</v>
      </c>
      <c r="G553" s="226" t="s">
        <v>10</v>
      </c>
    </row>
    <row r="554" spans="1:7" ht="21" customHeight="1">
      <c r="A554" s="185" t="s">
        <v>421</v>
      </c>
      <c r="B554" s="186"/>
      <c r="C554" s="186"/>
      <c r="D554" s="186"/>
      <c r="E554" s="539" t="s">
        <v>422</v>
      </c>
      <c r="F554" s="549">
        <v>327080.5</v>
      </c>
      <c r="G554" s="228"/>
    </row>
    <row r="555" spans="1:7" ht="21" customHeight="1">
      <c r="A555" s="185" t="s">
        <v>394</v>
      </c>
      <c r="B555" s="186"/>
      <c r="C555" s="186"/>
      <c r="D555" s="547"/>
      <c r="E555" s="548" t="s">
        <v>423</v>
      </c>
      <c r="F555" s="234">
        <v>8380.26</v>
      </c>
      <c r="G555" s="231"/>
    </row>
    <row r="556" spans="1:9" ht="21" customHeight="1">
      <c r="A556" s="185" t="s">
        <v>395</v>
      </c>
      <c r="B556" s="186"/>
      <c r="C556" s="186"/>
      <c r="D556" s="547"/>
      <c r="E556" s="548" t="s">
        <v>424</v>
      </c>
      <c r="F556" s="401">
        <v>386098</v>
      </c>
      <c r="G556" s="550"/>
      <c r="I556" s="184">
        <f>F554+F555+F556</f>
        <v>721558.76</v>
      </c>
    </row>
    <row r="557" spans="1:7" ht="21" customHeight="1">
      <c r="A557" s="185" t="s">
        <v>397</v>
      </c>
      <c r="B557" s="186"/>
      <c r="C557" s="186"/>
      <c r="D557" s="547"/>
      <c r="E557" s="551">
        <v>412106</v>
      </c>
      <c r="F557" s="401">
        <v>3166</v>
      </c>
      <c r="G557" s="550"/>
    </row>
    <row r="558" spans="1:7" ht="21" customHeight="1">
      <c r="A558" s="185" t="s">
        <v>396</v>
      </c>
      <c r="B558" s="186"/>
      <c r="C558" s="186"/>
      <c r="D558" s="552"/>
      <c r="E558" s="553">
        <v>412107</v>
      </c>
      <c r="F558" s="401">
        <v>286560</v>
      </c>
      <c r="G558" s="550"/>
    </row>
    <row r="559" spans="1:7" ht="21" customHeight="1">
      <c r="A559" s="185" t="s">
        <v>398</v>
      </c>
      <c r="B559" s="186"/>
      <c r="C559" s="186"/>
      <c r="D559" s="552"/>
      <c r="E559" s="554">
        <v>412112</v>
      </c>
      <c r="F559" s="401">
        <v>1410</v>
      </c>
      <c r="G559" s="550"/>
    </row>
    <row r="560" spans="1:7" ht="21" customHeight="1">
      <c r="A560" s="558" t="s">
        <v>399</v>
      </c>
      <c r="B560" s="559"/>
      <c r="C560" s="559"/>
      <c r="D560" s="556"/>
      <c r="E560" s="554">
        <v>412128</v>
      </c>
      <c r="F560" s="574">
        <v>670</v>
      </c>
      <c r="G560" s="550"/>
    </row>
    <row r="561" spans="1:7" ht="21" customHeight="1">
      <c r="A561" s="558" t="s">
        <v>400</v>
      </c>
      <c r="B561" s="559"/>
      <c r="C561" s="559"/>
      <c r="D561" s="556"/>
      <c r="E561" s="554">
        <v>412202</v>
      </c>
      <c r="F561" s="574">
        <v>100200</v>
      </c>
      <c r="G561" s="550"/>
    </row>
    <row r="562" spans="1:7" ht="21" customHeight="1">
      <c r="A562" s="558" t="s">
        <v>401</v>
      </c>
      <c r="B562" s="559"/>
      <c r="C562" s="559"/>
      <c r="D562" s="556"/>
      <c r="E562" s="565">
        <v>412207</v>
      </c>
      <c r="F562" s="574">
        <v>430</v>
      </c>
      <c r="G562" s="550"/>
    </row>
    <row r="563" spans="1:7" ht="21" customHeight="1">
      <c r="A563" s="560" t="s">
        <v>402</v>
      </c>
      <c r="B563" s="561"/>
      <c r="C563" s="561"/>
      <c r="D563" s="562"/>
      <c r="E563" s="565">
        <v>412305</v>
      </c>
      <c r="F563" s="574">
        <v>250</v>
      </c>
      <c r="G563" s="550"/>
    </row>
    <row r="564" spans="1:7" ht="21" customHeight="1">
      <c r="A564" s="560" t="s">
        <v>403</v>
      </c>
      <c r="B564" s="561"/>
      <c r="C564" s="561"/>
      <c r="D564" s="562"/>
      <c r="E564" s="565">
        <v>412307</v>
      </c>
      <c r="F564" s="574">
        <v>2090</v>
      </c>
      <c r="G564" s="550"/>
    </row>
    <row r="565" spans="1:7" ht="21" customHeight="1">
      <c r="A565" s="560" t="s">
        <v>404</v>
      </c>
      <c r="B565" s="561"/>
      <c r="C565" s="561"/>
      <c r="D565" s="562"/>
      <c r="E565" s="565">
        <v>412303</v>
      </c>
      <c r="F565" s="574">
        <v>13900</v>
      </c>
      <c r="G565" s="550"/>
    </row>
    <row r="566" spans="1:7" ht="21" customHeight="1">
      <c r="A566" s="560" t="s">
        <v>603</v>
      </c>
      <c r="B566" s="561"/>
      <c r="C566" s="561"/>
      <c r="D566" s="562"/>
      <c r="E566" s="565">
        <v>412304</v>
      </c>
      <c r="F566" s="574">
        <v>5500</v>
      </c>
      <c r="G566" s="550"/>
    </row>
    <row r="567" spans="1:7" ht="21" customHeight="1">
      <c r="A567" s="560" t="s">
        <v>405</v>
      </c>
      <c r="B567" s="561"/>
      <c r="C567" s="561"/>
      <c r="D567" s="562"/>
      <c r="E567" s="565">
        <v>412308</v>
      </c>
      <c r="F567" s="574">
        <v>260</v>
      </c>
      <c r="G567" s="550"/>
    </row>
    <row r="568" spans="1:7" ht="21" customHeight="1">
      <c r="A568" s="560" t="s">
        <v>425</v>
      </c>
      <c r="B568" s="561"/>
      <c r="C568" s="561"/>
      <c r="D568" s="562"/>
      <c r="E568" s="565">
        <v>412399</v>
      </c>
      <c r="F568" s="574">
        <v>800</v>
      </c>
      <c r="G568" s="550"/>
    </row>
    <row r="569" spans="1:7" ht="21" customHeight="1">
      <c r="A569" s="560" t="s">
        <v>406</v>
      </c>
      <c r="B569" s="561"/>
      <c r="C569" s="561"/>
      <c r="D569" s="562"/>
      <c r="E569" s="565">
        <v>412399</v>
      </c>
      <c r="F569" s="574">
        <v>160</v>
      </c>
      <c r="G569" s="550"/>
    </row>
    <row r="570" spans="1:7" ht="21" customHeight="1">
      <c r="A570" s="560" t="s">
        <v>407</v>
      </c>
      <c r="B570" s="561"/>
      <c r="C570" s="561"/>
      <c r="D570" s="562"/>
      <c r="E570" s="565">
        <v>412210</v>
      </c>
      <c r="F570" s="574">
        <v>8865</v>
      </c>
      <c r="G570" s="550"/>
    </row>
    <row r="571" spans="1:7" ht="21" customHeight="1">
      <c r="A571" s="560" t="s">
        <v>426</v>
      </c>
      <c r="B571" s="561"/>
      <c r="C571" s="561"/>
      <c r="D571" s="562"/>
      <c r="E571" s="565">
        <v>412210</v>
      </c>
      <c r="F571" s="574">
        <v>8400</v>
      </c>
      <c r="G571" s="550"/>
    </row>
    <row r="572" spans="1:7" ht="21" customHeight="1">
      <c r="A572" s="560" t="s">
        <v>408</v>
      </c>
      <c r="B572" s="561"/>
      <c r="C572" s="561"/>
      <c r="D572" s="562"/>
      <c r="E572" s="565">
        <v>412399</v>
      </c>
      <c r="F572" s="574">
        <v>6440</v>
      </c>
      <c r="G572" s="550"/>
    </row>
    <row r="573" spans="1:7" ht="21" customHeight="1">
      <c r="A573" s="560" t="s">
        <v>409</v>
      </c>
      <c r="B573" s="561"/>
      <c r="C573" s="561"/>
      <c r="D573" s="562"/>
      <c r="E573" s="565">
        <v>412013</v>
      </c>
      <c r="F573" s="574">
        <v>2192.2</v>
      </c>
      <c r="G573" s="550"/>
    </row>
    <row r="574" spans="1:9" ht="21" customHeight="1">
      <c r="A574" s="560" t="s">
        <v>410</v>
      </c>
      <c r="B574" s="561"/>
      <c r="C574" s="561"/>
      <c r="D574" s="562"/>
      <c r="E574" s="565">
        <v>412108</v>
      </c>
      <c r="F574" s="574">
        <v>10000</v>
      </c>
      <c r="G574" s="550"/>
      <c r="I574" s="184">
        <f>F557+F558+F559+F560+F561+F562+F563+F565+F566+F567+F568+F569+F570+F571+F572+F573+F574+F564</f>
        <v>451293.2</v>
      </c>
    </row>
    <row r="575" spans="1:7" ht="21" customHeight="1">
      <c r="A575" s="560" t="s">
        <v>411</v>
      </c>
      <c r="B575" s="561"/>
      <c r="C575" s="561"/>
      <c r="D575" s="562"/>
      <c r="E575" s="565">
        <v>413002</v>
      </c>
      <c r="F575" s="574">
        <v>426918</v>
      </c>
      <c r="G575" s="550"/>
    </row>
    <row r="576" spans="1:7" ht="21" customHeight="1">
      <c r="A576" s="560" t="s">
        <v>412</v>
      </c>
      <c r="B576" s="561"/>
      <c r="C576" s="561"/>
      <c r="D576" s="562"/>
      <c r="E576" s="565">
        <v>413003</v>
      </c>
      <c r="F576" s="574">
        <f>256948.98+50149.68</f>
        <v>307098.66000000003</v>
      </c>
      <c r="G576" s="550"/>
    </row>
    <row r="577" spans="1:7" ht="21" customHeight="1">
      <c r="A577" s="560" t="s">
        <v>413</v>
      </c>
      <c r="B577" s="561"/>
      <c r="C577" s="561"/>
      <c r="D577" s="562"/>
      <c r="E577" s="565">
        <v>415004</v>
      </c>
      <c r="F577" s="574">
        <v>7000</v>
      </c>
      <c r="G577" s="550"/>
    </row>
    <row r="578" spans="1:9" ht="21" customHeight="1">
      <c r="A578" s="560" t="s">
        <v>414</v>
      </c>
      <c r="B578" s="561"/>
      <c r="C578" s="561"/>
      <c r="D578" s="562"/>
      <c r="E578" s="565">
        <v>415006</v>
      </c>
      <c r="F578" s="574">
        <v>494</v>
      </c>
      <c r="G578" s="550"/>
      <c r="I578" s="184">
        <f>F575+F576</f>
        <v>734016.66</v>
      </c>
    </row>
    <row r="579" spans="1:9" ht="21" customHeight="1">
      <c r="A579" s="560" t="s">
        <v>415</v>
      </c>
      <c r="B579" s="561"/>
      <c r="C579" s="564"/>
      <c r="D579" s="562"/>
      <c r="E579" s="565">
        <v>415999</v>
      </c>
      <c r="F579" s="574">
        <v>48517.7</v>
      </c>
      <c r="G579" s="550"/>
      <c r="I579" s="184">
        <f>F577+F578+F579</f>
        <v>56011.7</v>
      </c>
    </row>
    <row r="580" spans="1:7" ht="21" customHeight="1">
      <c r="A580" s="560" t="s">
        <v>416</v>
      </c>
      <c r="B580" s="561"/>
      <c r="C580" s="564"/>
      <c r="D580" s="562"/>
      <c r="E580" s="565">
        <v>421002</v>
      </c>
      <c r="F580" s="574">
        <v>14593932.67</v>
      </c>
      <c r="G580" s="550"/>
    </row>
    <row r="581" spans="1:7" ht="21" customHeight="1">
      <c r="A581" s="560" t="s">
        <v>388</v>
      </c>
      <c r="B581" s="561"/>
      <c r="C581" s="564"/>
      <c r="D581" s="562"/>
      <c r="E581" s="565">
        <v>421004</v>
      </c>
      <c r="F581" s="574">
        <v>1505520.71</v>
      </c>
      <c r="G581" s="550"/>
    </row>
    <row r="582" spans="1:7" ht="21" customHeight="1">
      <c r="A582" s="560" t="s">
        <v>383</v>
      </c>
      <c r="B582" s="561"/>
      <c r="C582" s="564"/>
      <c r="D582" s="562"/>
      <c r="E582" s="565">
        <v>421005</v>
      </c>
      <c r="F582" s="574">
        <v>78833.63</v>
      </c>
      <c r="G582" s="550"/>
    </row>
    <row r="583" spans="1:9" ht="21" customHeight="1">
      <c r="A583" s="560" t="s">
        <v>389</v>
      </c>
      <c r="B583" s="561"/>
      <c r="C583" s="564"/>
      <c r="D583" s="562"/>
      <c r="E583" s="565">
        <v>421006</v>
      </c>
      <c r="F583" s="574">
        <v>716014.4</v>
      </c>
      <c r="G583" s="550"/>
      <c r="I583" s="184">
        <f>F580+F581+F582+F583+F597+F598+F599+F600+F601</f>
        <v>20304535.53</v>
      </c>
    </row>
    <row r="584" spans="1:7" ht="21" customHeight="1">
      <c r="A584" s="560"/>
      <c r="B584" s="748" t="s">
        <v>70</v>
      </c>
      <c r="C584" s="748"/>
      <c r="D584" s="749"/>
      <c r="E584" s="565"/>
      <c r="F584" s="574">
        <f>SUM(F554:F583)</f>
        <v>18857181.729999997</v>
      </c>
      <c r="G584" s="550"/>
    </row>
    <row r="585" spans="1:7" ht="21" customHeight="1">
      <c r="A585" s="711" t="s">
        <v>34</v>
      </c>
      <c r="B585" s="712"/>
      <c r="C585" s="741" t="s">
        <v>439</v>
      </c>
      <c r="D585" s="742"/>
      <c r="E585" s="743"/>
      <c r="F585" s="734" t="s">
        <v>440</v>
      </c>
      <c r="G585" s="735"/>
    </row>
    <row r="586" spans="1:7" ht="21" customHeight="1">
      <c r="A586" s="586"/>
      <c r="B586" s="588"/>
      <c r="C586" s="419"/>
      <c r="D586" s="254"/>
      <c r="E586" s="566"/>
      <c r="F586" s="592"/>
      <c r="G586" s="593"/>
    </row>
    <row r="587" spans="1:7" ht="21" customHeight="1">
      <c r="A587" s="586"/>
      <c r="B587" s="588"/>
      <c r="C587" s="419"/>
      <c r="D587" s="171"/>
      <c r="E587" s="591"/>
      <c r="F587" s="419"/>
      <c r="G587" s="593"/>
    </row>
    <row r="588" spans="1:7" ht="21" customHeight="1">
      <c r="A588" s="714" t="s">
        <v>441</v>
      </c>
      <c r="B588" s="715"/>
      <c r="C588" s="729" t="s">
        <v>564</v>
      </c>
      <c r="D588" s="736"/>
      <c r="E588" s="730"/>
      <c r="F588" s="729" t="s">
        <v>441</v>
      </c>
      <c r="G588" s="730"/>
    </row>
    <row r="589" spans="1:7" ht="21" customHeight="1">
      <c r="A589" s="716" t="s">
        <v>442</v>
      </c>
      <c r="B589" s="717"/>
      <c r="C589" s="738" t="s">
        <v>563</v>
      </c>
      <c r="D589" s="739"/>
      <c r="E589" s="740"/>
      <c r="F589" s="731" t="s">
        <v>442</v>
      </c>
      <c r="G589" s="732"/>
    </row>
    <row r="590" spans="1:7" ht="21" customHeight="1">
      <c r="A590" s="169"/>
      <c r="B590" s="169"/>
      <c r="C590" s="407"/>
      <c r="D590" s="407"/>
      <c r="E590" s="662"/>
      <c r="F590" s="170"/>
      <c r="G590" s="170"/>
    </row>
    <row r="591" spans="6:7" ht="21" customHeight="1">
      <c r="F591" s="737" t="s">
        <v>505</v>
      </c>
      <c r="G591" s="737"/>
    </row>
    <row r="592" spans="5:7" ht="21" customHeight="1">
      <c r="E592" s="704" t="s">
        <v>595</v>
      </c>
      <c r="F592" s="704"/>
      <c r="G592" s="704"/>
    </row>
    <row r="593" spans="1:7" ht="21" customHeight="1">
      <c r="A593" s="702" t="s">
        <v>89</v>
      </c>
      <c r="B593" s="702"/>
      <c r="C593" s="702"/>
      <c r="D593" s="702"/>
      <c r="E593" s="702"/>
      <c r="F593" s="702"/>
      <c r="G593" s="702"/>
    </row>
    <row r="594" spans="1:4" ht="21" customHeight="1" thickBot="1">
      <c r="A594" s="174" t="s">
        <v>120</v>
      </c>
      <c r="B594" s="174"/>
      <c r="C594" s="174"/>
      <c r="D594" s="223"/>
    </row>
    <row r="595" spans="1:7" ht="21" customHeight="1" thickBot="1">
      <c r="A595" s="727" t="s">
        <v>52</v>
      </c>
      <c r="B595" s="744"/>
      <c r="C595" s="744"/>
      <c r="D595" s="745"/>
      <c r="E595" s="538" t="s">
        <v>47</v>
      </c>
      <c r="F595" s="225" t="s">
        <v>9</v>
      </c>
      <c r="G595" s="226" t="s">
        <v>10</v>
      </c>
    </row>
    <row r="596" spans="1:7" ht="21" customHeight="1">
      <c r="A596" s="457"/>
      <c r="B596" s="752" t="s">
        <v>48</v>
      </c>
      <c r="C596" s="752"/>
      <c r="D596" s="753"/>
      <c r="E596" s="659"/>
      <c r="F596" s="660">
        <f>F584</f>
        <v>18857181.729999997</v>
      </c>
      <c r="G596" s="661"/>
    </row>
    <row r="597" spans="1:7" ht="21" customHeight="1">
      <c r="A597" s="560" t="s">
        <v>390</v>
      </c>
      <c r="B597" s="561"/>
      <c r="C597" s="564"/>
      <c r="D597" s="562"/>
      <c r="E597" s="565">
        <v>421007</v>
      </c>
      <c r="F597" s="574">
        <v>1725510.44</v>
      </c>
      <c r="G597" s="550"/>
    </row>
    <row r="598" spans="1:7" ht="21" customHeight="1">
      <c r="A598" s="560" t="s">
        <v>417</v>
      </c>
      <c r="B598" s="561"/>
      <c r="C598" s="564"/>
      <c r="D598" s="562"/>
      <c r="E598" s="565">
        <v>421012</v>
      </c>
      <c r="F598" s="574">
        <v>44709.2</v>
      </c>
      <c r="G598" s="550"/>
    </row>
    <row r="599" spans="1:7" ht="21" customHeight="1">
      <c r="A599" s="560" t="s">
        <v>418</v>
      </c>
      <c r="B599" s="561"/>
      <c r="C599" s="564"/>
      <c r="D599" s="562"/>
      <c r="E599" s="565">
        <v>421013</v>
      </c>
      <c r="F599" s="574">
        <v>22590.78</v>
      </c>
      <c r="G599" s="550"/>
    </row>
    <row r="600" spans="1:7" ht="21" customHeight="1">
      <c r="A600" s="558" t="s">
        <v>419</v>
      </c>
      <c r="B600" s="559"/>
      <c r="C600" s="555"/>
      <c r="D600" s="556"/>
      <c r="E600" s="565">
        <v>421015</v>
      </c>
      <c r="F600" s="574">
        <v>612803</v>
      </c>
      <c r="G600" s="550"/>
    </row>
    <row r="601" spans="1:7" ht="21" customHeight="1">
      <c r="A601" s="523" t="s">
        <v>387</v>
      </c>
      <c r="B601" s="527"/>
      <c r="C601" s="529"/>
      <c r="D601" s="575"/>
      <c r="E601" s="576">
        <v>421001</v>
      </c>
      <c r="F601" s="577">
        <v>1004620.7</v>
      </c>
      <c r="G601" s="578"/>
    </row>
    <row r="602" spans="1:9" ht="21" customHeight="1">
      <c r="A602" s="560" t="s">
        <v>427</v>
      </c>
      <c r="B602" s="561"/>
      <c r="C602" s="564"/>
      <c r="D602" s="562"/>
      <c r="E602" s="565">
        <v>431002</v>
      </c>
      <c r="F602" s="574">
        <v>6688744</v>
      </c>
      <c r="G602" s="550"/>
      <c r="I602" s="184">
        <f>F602+F605+F603+F604+F608+F609+F606+F607+F610</f>
        <v>25260068</v>
      </c>
    </row>
    <row r="603" spans="1:9" ht="21" customHeight="1">
      <c r="A603" s="558" t="s">
        <v>432</v>
      </c>
      <c r="B603" s="559"/>
      <c r="C603" s="555"/>
      <c r="D603" s="556"/>
      <c r="E603" s="565">
        <v>431004</v>
      </c>
      <c r="F603" s="574">
        <v>4577600</v>
      </c>
      <c r="G603" s="550"/>
      <c r="I603" s="184"/>
    </row>
    <row r="604" spans="1:9" ht="21" customHeight="1">
      <c r="A604" s="558" t="s">
        <v>433</v>
      </c>
      <c r="B604" s="559"/>
      <c r="C604" s="555"/>
      <c r="D604" s="556"/>
      <c r="E604" s="565">
        <v>431004</v>
      </c>
      <c r="F604" s="574">
        <v>854400</v>
      </c>
      <c r="G604" s="550"/>
      <c r="I604" s="184"/>
    </row>
    <row r="605" spans="1:7" ht="21" customHeight="1">
      <c r="A605" s="579" t="s">
        <v>428</v>
      </c>
      <c r="B605" s="561"/>
      <c r="C605" s="564"/>
      <c r="D605" s="562"/>
      <c r="E605" s="565">
        <v>431002</v>
      </c>
      <c r="F605" s="574">
        <f>365000+20000</f>
        <v>385000</v>
      </c>
      <c r="G605" s="550"/>
    </row>
    <row r="606" spans="1:7" ht="21" customHeight="1">
      <c r="A606" s="558" t="s">
        <v>436</v>
      </c>
      <c r="B606" s="559"/>
      <c r="C606" s="555"/>
      <c r="D606" s="556"/>
      <c r="E606" s="565">
        <v>431004</v>
      </c>
      <c r="F606" s="574">
        <v>21000</v>
      </c>
      <c r="G606" s="550"/>
    </row>
    <row r="607" spans="1:7" ht="21" customHeight="1">
      <c r="A607" s="558" t="s">
        <v>437</v>
      </c>
      <c r="B607" s="559"/>
      <c r="C607" s="555"/>
      <c r="D607" s="556"/>
      <c r="E607" s="565">
        <v>431004</v>
      </c>
      <c r="F607" s="574">
        <v>12565804</v>
      </c>
      <c r="G607" s="550"/>
    </row>
    <row r="608" spans="1:7" ht="21" customHeight="1">
      <c r="A608" s="558" t="s">
        <v>434</v>
      </c>
      <c r="B608" s="559"/>
      <c r="C608" s="555"/>
      <c r="D608" s="556"/>
      <c r="E608" s="565">
        <v>431004</v>
      </c>
      <c r="F608" s="574">
        <v>5520</v>
      </c>
      <c r="G608" s="550"/>
    </row>
    <row r="609" spans="1:7" ht="21" customHeight="1">
      <c r="A609" s="558" t="s">
        <v>435</v>
      </c>
      <c r="B609" s="559"/>
      <c r="C609" s="555"/>
      <c r="D609" s="556"/>
      <c r="E609" s="565">
        <v>431004</v>
      </c>
      <c r="F609" s="574">
        <f>108000+24000</f>
        <v>132000</v>
      </c>
      <c r="G609" s="550"/>
    </row>
    <row r="610" spans="1:9" ht="21" customHeight="1">
      <c r="A610" s="558" t="s">
        <v>438</v>
      </c>
      <c r="B610" s="559"/>
      <c r="C610" s="555"/>
      <c r="D610" s="556"/>
      <c r="E610" s="565">
        <v>431004</v>
      </c>
      <c r="F610" s="574">
        <v>30000</v>
      </c>
      <c r="G610" s="550"/>
      <c r="I610" s="184"/>
    </row>
    <row r="611" spans="1:9" ht="21" customHeight="1">
      <c r="A611" s="560" t="s">
        <v>420</v>
      </c>
      <c r="B611" s="527"/>
      <c r="C611" s="529"/>
      <c r="D611" s="575"/>
      <c r="E611" s="566">
        <v>441002</v>
      </c>
      <c r="F611" s="580">
        <v>96000</v>
      </c>
      <c r="G611" s="563"/>
      <c r="I611" s="184">
        <f>F602+F605+F603+F604+F608+F609+F606+F607+F610</f>
        <v>25260068</v>
      </c>
    </row>
    <row r="612" spans="1:7" ht="21" customHeight="1">
      <c r="A612" s="560" t="s">
        <v>429</v>
      </c>
      <c r="B612" s="561"/>
      <c r="C612" s="564"/>
      <c r="D612" s="562"/>
      <c r="E612" s="565">
        <v>431004</v>
      </c>
      <c r="F612" s="574">
        <f>227500-15000</f>
        <v>212500</v>
      </c>
      <c r="G612" s="550"/>
    </row>
    <row r="613" spans="1:7" ht="21" customHeight="1">
      <c r="A613" s="560" t="s">
        <v>430</v>
      </c>
      <c r="B613" s="561"/>
      <c r="C613" s="564"/>
      <c r="D613" s="562"/>
      <c r="E613" s="565">
        <v>431004</v>
      </c>
      <c r="F613" s="574">
        <v>95559</v>
      </c>
      <c r="G613" s="550"/>
    </row>
    <row r="614" spans="1:9" ht="21" customHeight="1">
      <c r="A614" s="558" t="s">
        <v>431</v>
      </c>
      <c r="B614" s="559"/>
      <c r="C614" s="555"/>
      <c r="D614" s="556"/>
      <c r="E614" s="565">
        <v>431004</v>
      </c>
      <c r="F614" s="574">
        <f>27600-12330</f>
        <v>15270</v>
      </c>
      <c r="G614" s="550"/>
      <c r="I614" s="184">
        <f>F612+F613+F614</f>
        <v>323329</v>
      </c>
    </row>
    <row r="615" spans="1:7" ht="21" customHeight="1">
      <c r="A615" s="558"/>
      <c r="B615" s="559" t="s">
        <v>88</v>
      </c>
      <c r="C615" s="555"/>
      <c r="D615" s="556"/>
      <c r="E615" s="554">
        <v>400000</v>
      </c>
      <c r="F615" s="557"/>
      <c r="G615" s="550">
        <f>F596+F597+F598+F599+F600+F601+F602+F605+F612+F613+F614+F603+F604+F608+F609+F606+F607+F610+F611</f>
        <v>47946812.849999994</v>
      </c>
    </row>
    <row r="616" spans="1:7" ht="21" customHeight="1" thickBot="1">
      <c r="A616" s="581"/>
      <c r="B616" s="582"/>
      <c r="C616" s="582"/>
      <c r="D616" s="583"/>
      <c r="E616" s="584"/>
      <c r="F616" s="585">
        <f>SUM(F596:F615)</f>
        <v>47946812.849999994</v>
      </c>
      <c r="G616" s="585">
        <f>SUM(G596:G615)</f>
        <v>47946812.849999994</v>
      </c>
    </row>
    <row r="617" spans="1:7" ht="21" customHeight="1" thickBot="1" thickTop="1">
      <c r="A617" s="158" t="s">
        <v>90</v>
      </c>
      <c r="B617" s="568" t="s">
        <v>602</v>
      </c>
      <c r="C617" s="569"/>
      <c r="D617" s="570"/>
      <c r="E617" s="571"/>
      <c r="F617" s="572"/>
      <c r="G617" s="573"/>
    </row>
    <row r="618" spans="1:7" ht="21" customHeight="1">
      <c r="A618" s="257"/>
      <c r="B618" s="257"/>
      <c r="C618" s="545"/>
      <c r="D618" s="258"/>
      <c r="E618" s="543"/>
      <c r="F618" s="258"/>
      <c r="G618" s="259"/>
    </row>
    <row r="619" spans="1:7" ht="21" customHeight="1">
      <c r="A619" s="252"/>
      <c r="B619" s="252"/>
      <c r="C619" s="159"/>
      <c r="D619" s="171"/>
      <c r="E619" s="527"/>
      <c r="F619" s="159"/>
      <c r="G619" s="171"/>
    </row>
    <row r="620" spans="1:7" ht="21" customHeight="1">
      <c r="A620" s="252"/>
      <c r="B620" s="252"/>
      <c r="C620" s="159"/>
      <c r="D620" s="171"/>
      <c r="E620" s="718"/>
      <c r="F620" s="718"/>
      <c r="G620" s="171"/>
    </row>
    <row r="621" spans="1:7" ht="21" customHeight="1">
      <c r="A621" s="252"/>
      <c r="B621" s="252"/>
      <c r="C621" s="159"/>
      <c r="D621" s="718"/>
      <c r="E621" s="718"/>
      <c r="F621" s="718"/>
      <c r="G621" s="718"/>
    </row>
    <row r="622" spans="1:7" ht="21" customHeight="1">
      <c r="A622" s="252"/>
      <c r="B622" s="252"/>
      <c r="C622" s="159"/>
      <c r="D622" s="169"/>
      <c r="E622" s="169"/>
      <c r="F622" s="169"/>
      <c r="G622" s="169"/>
    </row>
    <row r="623" spans="1:7" ht="21" customHeight="1">
      <c r="A623" s="252"/>
      <c r="B623" s="252"/>
      <c r="C623" s="159"/>
      <c r="D623" s="169"/>
      <c r="E623" s="169"/>
      <c r="F623" s="169"/>
      <c r="G623" s="169"/>
    </row>
    <row r="624" spans="1:7" ht="21" customHeight="1">
      <c r="A624" s="252"/>
      <c r="B624" s="252"/>
      <c r="C624" s="159"/>
      <c r="D624" s="169"/>
      <c r="E624" s="169"/>
      <c r="F624" s="169"/>
      <c r="G624" s="169"/>
    </row>
    <row r="625" spans="1:7" ht="21" customHeight="1">
      <c r="A625" s="252"/>
      <c r="B625" s="252"/>
      <c r="C625" s="159"/>
      <c r="D625" s="169"/>
      <c r="E625" s="169"/>
      <c r="F625" s="169"/>
      <c r="G625" s="169"/>
    </row>
    <row r="626" spans="1:7" ht="21" customHeight="1">
      <c r="A626" s="252"/>
      <c r="B626" s="252"/>
      <c r="C626" s="159"/>
      <c r="D626" s="169"/>
      <c r="E626" s="169"/>
      <c r="F626" s="169"/>
      <c r="G626" s="169"/>
    </row>
    <row r="627" spans="1:7" ht="21" customHeight="1">
      <c r="A627" s="711" t="s">
        <v>34</v>
      </c>
      <c r="B627" s="712"/>
      <c r="C627" s="741" t="s">
        <v>439</v>
      </c>
      <c r="D627" s="742"/>
      <c r="E627" s="743"/>
      <c r="F627" s="734" t="s">
        <v>440</v>
      </c>
      <c r="G627" s="735"/>
    </row>
    <row r="628" spans="1:7" ht="21" customHeight="1">
      <c r="A628" s="586"/>
      <c r="B628" s="588"/>
      <c r="C628" s="419"/>
      <c r="D628" s="254"/>
      <c r="E628" s="566"/>
      <c r="F628" s="592"/>
      <c r="G628" s="593"/>
    </row>
    <row r="629" spans="1:7" s="159" customFormat="1" ht="21" customHeight="1">
      <c r="A629" s="586"/>
      <c r="B629" s="588"/>
      <c r="C629" s="419"/>
      <c r="D629" s="171"/>
      <c r="E629" s="591"/>
      <c r="F629" s="419"/>
      <c r="G629" s="593"/>
    </row>
    <row r="630" spans="1:7" s="159" customFormat="1" ht="21" customHeight="1">
      <c r="A630" s="714" t="s">
        <v>441</v>
      </c>
      <c r="B630" s="715"/>
      <c r="C630" s="729" t="s">
        <v>564</v>
      </c>
      <c r="D630" s="736"/>
      <c r="E630" s="730"/>
      <c r="F630" s="729" t="s">
        <v>441</v>
      </c>
      <c r="G630" s="730"/>
    </row>
    <row r="631" spans="1:7" s="159" customFormat="1" ht="21" customHeight="1">
      <c r="A631" s="716" t="s">
        <v>442</v>
      </c>
      <c r="B631" s="717"/>
      <c r="C631" s="738" t="s">
        <v>563</v>
      </c>
      <c r="D631" s="739"/>
      <c r="E631" s="740"/>
      <c r="F631" s="731" t="s">
        <v>442</v>
      </c>
      <c r="G631" s="732"/>
    </row>
    <row r="632" spans="1:7" s="159" customFormat="1" ht="21" customHeight="1">
      <c r="A632" s="252"/>
      <c r="B632" s="252"/>
      <c r="D632" s="169"/>
      <c r="E632" s="169"/>
      <c r="F632" s="169"/>
      <c r="G632" s="169"/>
    </row>
    <row r="633" spans="1:7" s="159" customFormat="1" ht="21" customHeight="1">
      <c r="A633" s="252"/>
      <c r="B633" s="252"/>
      <c r="D633" s="169"/>
      <c r="E633" s="169"/>
      <c r="F633" s="169"/>
      <c r="G633" s="169"/>
    </row>
    <row r="634" spans="6:7" ht="21" customHeight="1">
      <c r="F634" s="737" t="s">
        <v>505</v>
      </c>
      <c r="G634" s="737"/>
    </row>
    <row r="635" spans="5:7" ht="21" customHeight="1">
      <c r="E635" s="704" t="s">
        <v>595</v>
      </c>
      <c r="F635" s="704"/>
      <c r="G635" s="704"/>
    </row>
    <row r="636" spans="1:7" ht="21" customHeight="1">
      <c r="A636" s="702" t="s">
        <v>89</v>
      </c>
      <c r="B636" s="702"/>
      <c r="C636" s="702"/>
      <c r="D636" s="702"/>
      <c r="E636" s="702"/>
      <c r="F636" s="702"/>
      <c r="G636" s="702"/>
    </row>
    <row r="637" spans="1:4" ht="21" customHeight="1" thickBot="1">
      <c r="A637" s="174" t="s">
        <v>120</v>
      </c>
      <c r="B637" s="174"/>
      <c r="C637" s="174"/>
      <c r="D637" s="223"/>
    </row>
    <row r="638" spans="1:7" ht="21" customHeight="1" thickBot="1">
      <c r="A638" s="727" t="s">
        <v>52</v>
      </c>
      <c r="B638" s="744"/>
      <c r="C638" s="744"/>
      <c r="D638" s="745"/>
      <c r="E638" s="538" t="s">
        <v>47</v>
      </c>
      <c r="F638" s="225" t="s">
        <v>9</v>
      </c>
      <c r="G638" s="226" t="s">
        <v>10</v>
      </c>
    </row>
    <row r="639" spans="1:7" ht="21" customHeight="1">
      <c r="A639" s="186" t="s">
        <v>6</v>
      </c>
      <c r="B639" s="186"/>
      <c r="C639" s="186"/>
      <c r="D639" s="186"/>
      <c r="E639" s="656" t="s">
        <v>186</v>
      </c>
      <c r="F639" s="227">
        <f>G657</f>
        <v>34772294.86</v>
      </c>
      <c r="G639" s="228"/>
    </row>
    <row r="640" spans="1:7" ht="21" customHeight="1">
      <c r="A640" s="185"/>
      <c r="B640" s="186" t="s">
        <v>45</v>
      </c>
      <c r="C640" s="186"/>
      <c r="E640" s="540" t="s">
        <v>247</v>
      </c>
      <c r="F640" s="230">
        <v>0</v>
      </c>
      <c r="G640" s="231">
        <f>'งบทดลอง '!C13+'งบทดลอง '!C14</f>
        <v>6855123.42</v>
      </c>
    </row>
    <row r="641" spans="1:7" ht="21" customHeight="1">
      <c r="A641" s="232"/>
      <c r="B641" s="178" t="s">
        <v>181</v>
      </c>
      <c r="C641" s="233"/>
      <c r="D641" s="233"/>
      <c r="E641" s="540" t="s">
        <v>253</v>
      </c>
      <c r="F641" s="230"/>
      <c r="G641" s="231">
        <f>'งบทดลอง '!C15</f>
        <v>1968480</v>
      </c>
    </row>
    <row r="642" spans="1:7" ht="21" customHeight="1">
      <c r="A642" s="232"/>
      <c r="B642" s="186" t="s">
        <v>182</v>
      </c>
      <c r="C642" s="233"/>
      <c r="D642" s="233"/>
      <c r="E642" s="540" t="s">
        <v>267</v>
      </c>
      <c r="F642" s="230"/>
      <c r="G642" s="231">
        <f>'งบทดลอง '!C16</f>
        <v>13364794</v>
      </c>
    </row>
    <row r="643" spans="1:7" ht="21" customHeight="1">
      <c r="A643" s="232"/>
      <c r="B643" s="186" t="s">
        <v>0</v>
      </c>
      <c r="C643" s="233"/>
      <c r="D643" s="233"/>
      <c r="E643" s="540" t="s">
        <v>194</v>
      </c>
      <c r="F643" s="230"/>
      <c r="G643" s="231">
        <f>'งบทดลอง '!C17</f>
        <v>424342.5</v>
      </c>
    </row>
    <row r="644" spans="1:7" ht="21" customHeight="1">
      <c r="A644" s="232"/>
      <c r="B644" s="186" t="s">
        <v>1</v>
      </c>
      <c r="C644" s="233"/>
      <c r="D644" s="233"/>
      <c r="E644" s="540" t="s">
        <v>188</v>
      </c>
      <c r="F644" s="230"/>
      <c r="G644" s="231">
        <f>'งบทดลอง '!C18</f>
        <v>4001193.1</v>
      </c>
    </row>
    <row r="645" spans="1:7" ht="21" customHeight="1">
      <c r="A645" s="232"/>
      <c r="B645" s="186" t="s">
        <v>2</v>
      </c>
      <c r="C645" s="233"/>
      <c r="D645" s="233"/>
      <c r="E645" s="540" t="s">
        <v>255</v>
      </c>
      <c r="F645" s="230"/>
      <c r="G645" s="231">
        <f>'งบทดลอง '!C19</f>
        <v>1248711.49</v>
      </c>
    </row>
    <row r="646" spans="1:7" ht="21" customHeight="1">
      <c r="A646" s="232"/>
      <c r="B646" s="186" t="s">
        <v>3</v>
      </c>
      <c r="C646" s="233"/>
      <c r="D646" s="233"/>
      <c r="E646" s="540" t="s">
        <v>254</v>
      </c>
      <c r="F646" s="230"/>
      <c r="G646" s="231">
        <f>'งบทดลอง '!C20</f>
        <v>379372.52</v>
      </c>
    </row>
    <row r="647" spans="1:7" ht="21" customHeight="1">
      <c r="A647" s="232"/>
      <c r="B647" s="186" t="s">
        <v>80</v>
      </c>
      <c r="C647" s="233"/>
      <c r="D647" s="233"/>
      <c r="E647" s="540" t="s">
        <v>196</v>
      </c>
      <c r="F647" s="230"/>
      <c r="G647" s="231">
        <f>'งบทดลอง '!C22</f>
        <v>25050</v>
      </c>
    </row>
    <row r="648" spans="1:7" ht="21" customHeight="1">
      <c r="A648" s="232"/>
      <c r="B648" s="186" t="s">
        <v>5</v>
      </c>
      <c r="C648" s="233"/>
      <c r="D648" s="233"/>
      <c r="E648" s="540" t="s">
        <v>197</v>
      </c>
      <c r="F648" s="230"/>
      <c r="G648" s="231">
        <f>'งบทดลอง '!C23</f>
        <v>93900</v>
      </c>
    </row>
    <row r="649" spans="1:7" ht="21" customHeight="1">
      <c r="A649" s="232"/>
      <c r="B649" s="186" t="s">
        <v>39</v>
      </c>
      <c r="C649" s="233"/>
      <c r="D649" s="233"/>
      <c r="E649" s="540" t="s">
        <v>198</v>
      </c>
      <c r="F649" s="230"/>
      <c r="G649" s="231">
        <v>0</v>
      </c>
    </row>
    <row r="650" spans="1:7" ht="21" customHeight="1">
      <c r="A650" s="232"/>
      <c r="B650" s="186" t="s">
        <v>4</v>
      </c>
      <c r="C650" s="233"/>
      <c r="D650" s="233"/>
      <c r="E650" s="540" t="s">
        <v>195</v>
      </c>
      <c r="F650" s="230"/>
      <c r="G650" s="231">
        <f>'งบทดลอง '!C21</f>
        <v>997180</v>
      </c>
    </row>
    <row r="651" spans="1:7" ht="21" customHeight="1">
      <c r="A651" s="232"/>
      <c r="B651" s="186" t="s">
        <v>7</v>
      </c>
      <c r="C651" s="233"/>
      <c r="D651" s="233"/>
      <c r="E651" s="540" t="s">
        <v>187</v>
      </c>
      <c r="F651" s="230"/>
      <c r="G651" s="231">
        <v>4060610.87</v>
      </c>
    </row>
    <row r="652" spans="1:7" ht="21" customHeight="1">
      <c r="A652" s="232"/>
      <c r="B652" s="186" t="s">
        <v>40</v>
      </c>
      <c r="C652" s="233"/>
      <c r="D652" s="233"/>
      <c r="E652" s="540" t="s">
        <v>605</v>
      </c>
      <c r="F652" s="230"/>
      <c r="G652" s="231">
        <v>1353536.96</v>
      </c>
    </row>
    <row r="653" spans="1:7" ht="21" customHeight="1">
      <c r="A653" s="232"/>
      <c r="B653" s="186"/>
      <c r="C653" s="233"/>
      <c r="D653" s="233"/>
      <c r="E653" s="540"/>
      <c r="F653" s="230"/>
      <c r="G653" s="231"/>
    </row>
    <row r="654" spans="1:7" ht="21" customHeight="1">
      <c r="A654" s="232"/>
      <c r="B654" s="186"/>
      <c r="C654" s="233"/>
      <c r="D654" s="233"/>
      <c r="E654" s="540"/>
      <c r="F654" s="230"/>
      <c r="G654" s="231"/>
    </row>
    <row r="655" spans="1:7" ht="21" customHeight="1">
      <c r="A655" s="232"/>
      <c r="B655" s="186"/>
      <c r="C655" s="233"/>
      <c r="D655" s="233"/>
      <c r="E655" s="540"/>
      <c r="F655" s="234"/>
      <c r="G655" s="231"/>
    </row>
    <row r="656" spans="1:7" ht="21" customHeight="1">
      <c r="A656" s="232"/>
      <c r="B656" s="233"/>
      <c r="C656" s="233"/>
      <c r="D656" s="233"/>
      <c r="E656" s="540"/>
      <c r="F656" s="234"/>
      <c r="G656" s="231"/>
    </row>
    <row r="657" spans="1:7" ht="21" customHeight="1" thickBot="1">
      <c r="A657" s="235"/>
      <c r="B657" s="236"/>
      <c r="C657" s="236"/>
      <c r="D657" s="237"/>
      <c r="E657" s="541"/>
      <c r="F657" s="238">
        <f>SUM(F639:F641)</f>
        <v>34772294.86</v>
      </c>
      <c r="G657" s="238">
        <f>SUM(G639:G652)</f>
        <v>34772294.86</v>
      </c>
    </row>
    <row r="658" spans="1:7" ht="21" customHeight="1" thickTop="1">
      <c r="A658" s="217" t="s">
        <v>90</v>
      </c>
      <c r="B658" s="663" t="s">
        <v>604</v>
      </c>
      <c r="C658" s="241"/>
      <c r="D658" s="242"/>
      <c r="E658" s="524"/>
      <c r="F658" s="171"/>
      <c r="G658" s="530"/>
    </row>
    <row r="659" spans="1:7" ht="21" customHeight="1">
      <c r="A659" s="217"/>
      <c r="B659" s="240"/>
      <c r="C659" s="241"/>
      <c r="D659" s="242"/>
      <c r="E659" s="524"/>
      <c r="F659" s="171"/>
      <c r="G659" s="243"/>
    </row>
    <row r="660" spans="1:7" ht="21" customHeight="1">
      <c r="A660" s="217"/>
      <c r="B660" s="240"/>
      <c r="C660" s="241"/>
      <c r="D660" s="242"/>
      <c r="E660" s="524"/>
      <c r="F660" s="171"/>
      <c r="G660" s="243"/>
    </row>
    <row r="661" spans="1:7" ht="21" customHeight="1">
      <c r="A661" s="217"/>
      <c r="B661" s="240"/>
      <c r="C661" s="241"/>
      <c r="D661" s="242"/>
      <c r="E661" s="524"/>
      <c r="F661" s="171"/>
      <c r="G661" s="243"/>
    </row>
    <row r="662" spans="1:7" ht="21" customHeight="1">
      <c r="A662" s="244"/>
      <c r="B662" s="240"/>
      <c r="C662" s="241"/>
      <c r="D662" s="242"/>
      <c r="E662" s="524"/>
      <c r="F662" s="171"/>
      <c r="G662" s="243"/>
    </row>
    <row r="663" spans="1:7" ht="21" customHeight="1">
      <c r="A663" s="245"/>
      <c r="B663" s="528"/>
      <c r="C663" s="528"/>
      <c r="D663" s="170"/>
      <c r="E663" s="524"/>
      <c r="F663" s="171"/>
      <c r="G663" s="243"/>
    </row>
    <row r="664" spans="1:7" ht="21" customHeight="1">
      <c r="A664" s="245"/>
      <c r="B664" s="246"/>
      <c r="C664" s="246"/>
      <c r="D664" s="170"/>
      <c r="E664" s="524"/>
      <c r="F664" s="171"/>
      <c r="G664" s="243"/>
    </row>
    <row r="665" spans="1:7" ht="21" customHeight="1">
      <c r="A665" s="245"/>
      <c r="B665" s="240"/>
      <c r="C665" s="247"/>
      <c r="D665" s="170"/>
      <c r="E665" s="526"/>
      <c r="F665" s="171"/>
      <c r="G665" s="243"/>
    </row>
    <row r="666" spans="1:7" ht="21" customHeight="1">
      <c r="A666" s="245"/>
      <c r="B666" s="240"/>
      <c r="C666" s="249"/>
      <c r="D666" s="170"/>
      <c r="E666" s="524"/>
      <c r="F666" s="171"/>
      <c r="G666" s="243"/>
    </row>
    <row r="667" spans="1:7" ht="21" customHeight="1">
      <c r="A667" s="711" t="s">
        <v>34</v>
      </c>
      <c r="B667" s="712"/>
      <c r="C667" s="741" t="s">
        <v>439</v>
      </c>
      <c r="D667" s="742"/>
      <c r="E667" s="743"/>
      <c r="F667" s="734" t="s">
        <v>440</v>
      </c>
      <c r="G667" s="735"/>
    </row>
    <row r="668" spans="1:7" ht="21" customHeight="1">
      <c r="A668" s="586"/>
      <c r="B668" s="588"/>
      <c r="C668" s="419"/>
      <c r="D668" s="254"/>
      <c r="E668" s="566"/>
      <c r="F668" s="592"/>
      <c r="G668" s="593"/>
    </row>
    <row r="669" spans="1:7" ht="21" customHeight="1">
      <c r="A669" s="586"/>
      <c r="B669" s="588"/>
      <c r="C669" s="419"/>
      <c r="D669" s="171"/>
      <c r="E669" s="591"/>
      <c r="F669" s="419"/>
      <c r="G669" s="593"/>
    </row>
    <row r="670" spans="1:7" ht="21" customHeight="1">
      <c r="A670" s="714" t="s">
        <v>441</v>
      </c>
      <c r="B670" s="715"/>
      <c r="C670" s="729" t="s">
        <v>564</v>
      </c>
      <c r="D670" s="736"/>
      <c r="E670" s="730"/>
      <c r="F670" s="729" t="s">
        <v>441</v>
      </c>
      <c r="G670" s="730"/>
    </row>
    <row r="671" spans="1:7" ht="21" customHeight="1">
      <c r="A671" s="716" t="s">
        <v>442</v>
      </c>
      <c r="B671" s="717"/>
      <c r="C671" s="738" t="s">
        <v>563</v>
      </c>
      <c r="D671" s="739"/>
      <c r="E671" s="740"/>
      <c r="F671" s="731" t="s">
        <v>442</v>
      </c>
      <c r="G671" s="732"/>
    </row>
    <row r="672" spans="4:7" ht="21" customHeight="1">
      <c r="D672" s="1"/>
      <c r="E672" s="1"/>
      <c r="F672" s="1"/>
      <c r="G672" s="1"/>
    </row>
    <row r="673" spans="4:7" ht="21" customHeight="1">
      <c r="D673" s="1"/>
      <c r="E673" s="1"/>
      <c r="F673" s="1"/>
      <c r="G673" s="1"/>
    </row>
    <row r="674" spans="4:7" ht="21" customHeight="1">
      <c r="D674" s="1"/>
      <c r="E674" s="1"/>
      <c r="F674" s="1"/>
      <c r="G674" s="1"/>
    </row>
    <row r="675" spans="4:7" ht="21" customHeight="1">
      <c r="D675" s="1"/>
      <c r="E675" s="1"/>
      <c r="F675" s="1"/>
      <c r="G675" s="1"/>
    </row>
    <row r="676" spans="4:7" ht="21" customHeight="1">
      <c r="D676" s="1"/>
      <c r="E676" s="1"/>
      <c r="F676" s="1"/>
      <c r="G676" s="1"/>
    </row>
    <row r="677" spans="4:7" ht="21" customHeight="1">
      <c r="D677" s="1"/>
      <c r="E677" s="1"/>
      <c r="F677" s="1"/>
      <c r="G677" s="1"/>
    </row>
    <row r="678" spans="4:7" ht="21" customHeight="1">
      <c r="D678" s="1"/>
      <c r="E678" s="1"/>
      <c r="F678" s="1"/>
      <c r="G678" s="1"/>
    </row>
    <row r="679" spans="4:7" ht="21" customHeight="1">
      <c r="D679" s="1"/>
      <c r="E679" s="1"/>
      <c r="F679" s="1"/>
      <c r="G679" s="1"/>
    </row>
    <row r="680" spans="4:7" ht="21" customHeight="1">
      <c r="D680" s="1"/>
      <c r="E680" s="1"/>
      <c r="F680" s="1"/>
      <c r="G680" s="1"/>
    </row>
    <row r="681" spans="4:7" ht="21" customHeight="1">
      <c r="D681" s="1"/>
      <c r="E681" s="1"/>
      <c r="F681" s="1"/>
      <c r="G681" s="1"/>
    </row>
    <row r="682" spans="4:7" ht="21" customHeight="1">
      <c r="D682" s="1"/>
      <c r="E682" s="1"/>
      <c r="F682" s="1"/>
      <c r="G682" s="1"/>
    </row>
    <row r="683" spans="4:7" ht="21" customHeight="1">
      <c r="D683" s="1"/>
      <c r="E683" s="1"/>
      <c r="F683" s="1"/>
      <c r="G683" s="1"/>
    </row>
    <row r="684" spans="1:7" ht="21" customHeight="1">
      <c r="A684" s="252"/>
      <c r="B684" s="252"/>
      <c r="C684" s="159"/>
      <c r="D684" s="169"/>
      <c r="E684" s="169"/>
      <c r="F684" s="169"/>
      <c r="G684" s="169"/>
    </row>
    <row r="685" spans="1:7" ht="21" customHeight="1">
      <c r="A685" s="252"/>
      <c r="B685" s="252"/>
      <c r="C685" s="159"/>
      <c r="D685" s="169"/>
      <c r="E685" s="169"/>
      <c r="F685" s="169"/>
      <c r="G685" s="169"/>
    </row>
    <row r="686" spans="1:7" ht="21" customHeight="1">
      <c r="A686" s="252"/>
      <c r="B686" s="252"/>
      <c r="C686" s="159"/>
      <c r="D686" s="169"/>
      <c r="E686" s="169"/>
      <c r="F686" s="169"/>
      <c r="G686" s="169"/>
    </row>
    <row r="687" spans="1:7" ht="21" customHeight="1">
      <c r="A687" s="252"/>
      <c r="B687" s="252"/>
      <c r="C687" s="159"/>
      <c r="D687" s="169"/>
      <c r="E687" s="169"/>
      <c r="F687" s="169"/>
      <c r="G687" s="169"/>
    </row>
    <row r="688" spans="1:7" ht="21" customHeight="1">
      <c r="A688" s="252"/>
      <c r="B688" s="252"/>
      <c r="C688" s="159"/>
      <c r="D688" s="169"/>
      <c r="E688" s="169"/>
      <c r="F688" s="169"/>
      <c r="G688" s="169"/>
    </row>
    <row r="689" spans="6:7" ht="21" customHeight="1">
      <c r="F689" s="737" t="s">
        <v>487</v>
      </c>
      <c r="G689" s="737"/>
    </row>
    <row r="690" spans="5:7" ht="21" customHeight="1">
      <c r="E690" s="704" t="s">
        <v>504</v>
      </c>
      <c r="F690" s="704"/>
      <c r="G690" s="704"/>
    </row>
    <row r="691" spans="1:7" ht="21" customHeight="1">
      <c r="A691" s="702" t="s">
        <v>89</v>
      </c>
      <c r="B691" s="702"/>
      <c r="C691" s="702"/>
      <c r="D691" s="702"/>
      <c r="E691" s="702"/>
      <c r="F691" s="702"/>
      <c r="G691" s="702"/>
    </row>
    <row r="692" spans="1:4" ht="21" customHeight="1" thickBot="1">
      <c r="A692" s="174" t="s">
        <v>120</v>
      </c>
      <c r="B692" s="174"/>
      <c r="C692" s="174"/>
      <c r="D692" s="223"/>
    </row>
    <row r="693" spans="1:7" ht="21" customHeight="1" thickBot="1">
      <c r="A693" s="727" t="s">
        <v>52</v>
      </c>
      <c r="B693" s="744"/>
      <c r="C693" s="744"/>
      <c r="D693" s="745"/>
      <c r="E693" s="538" t="s">
        <v>47</v>
      </c>
      <c r="F693" s="225" t="s">
        <v>9</v>
      </c>
      <c r="G693" s="226" t="s">
        <v>10</v>
      </c>
    </row>
    <row r="694" spans="1:7" ht="21" customHeight="1">
      <c r="A694" s="185" t="s">
        <v>494</v>
      </c>
      <c r="B694" s="186"/>
      <c r="C694" s="186"/>
      <c r="D694" s="186"/>
      <c r="E694" s="539"/>
      <c r="F694" s="227">
        <v>26840</v>
      </c>
      <c r="G694" s="228"/>
    </row>
    <row r="695" spans="1:7" ht="21" customHeight="1">
      <c r="A695" s="185"/>
      <c r="B695" s="186" t="s">
        <v>7</v>
      </c>
      <c r="C695" s="186"/>
      <c r="E695" s="540"/>
      <c r="F695" s="230"/>
      <c r="G695" s="231">
        <f>SUM(F694:F694)</f>
        <v>26840</v>
      </c>
    </row>
    <row r="696" spans="1:7" ht="21" customHeight="1">
      <c r="A696" s="232"/>
      <c r="B696" s="233"/>
      <c r="C696" s="233"/>
      <c r="D696" s="233"/>
      <c r="E696" s="540"/>
      <c r="F696" s="230"/>
      <c r="G696" s="231"/>
    </row>
    <row r="697" spans="1:7" ht="21" customHeight="1">
      <c r="A697" s="232"/>
      <c r="B697" s="233"/>
      <c r="C697" s="233"/>
      <c r="D697" s="233"/>
      <c r="E697" s="540"/>
      <c r="F697" s="230"/>
      <c r="G697" s="231"/>
    </row>
    <row r="698" spans="1:7" ht="21" customHeight="1">
      <c r="A698" s="232"/>
      <c r="B698" s="233"/>
      <c r="C698" s="233"/>
      <c r="D698" s="233"/>
      <c r="E698" s="540"/>
      <c r="F698" s="230"/>
      <c r="G698" s="231"/>
    </row>
    <row r="699" spans="1:7" ht="21" customHeight="1">
      <c r="A699" s="232"/>
      <c r="B699" s="233"/>
      <c r="C699" s="233"/>
      <c r="D699" s="233"/>
      <c r="E699" s="540"/>
      <c r="F699" s="230"/>
      <c r="G699" s="231"/>
    </row>
    <row r="700" spans="1:7" ht="21" customHeight="1">
      <c r="A700" s="232"/>
      <c r="B700" s="233"/>
      <c r="C700" s="233"/>
      <c r="D700" s="233"/>
      <c r="E700" s="540"/>
      <c r="F700" s="234"/>
      <c r="G700" s="231"/>
    </row>
    <row r="701" spans="1:7" ht="21" customHeight="1">
      <c r="A701" s="232"/>
      <c r="B701" s="233"/>
      <c r="C701" s="233"/>
      <c r="D701" s="233"/>
      <c r="E701" s="540"/>
      <c r="F701" s="234"/>
      <c r="G701" s="231"/>
    </row>
    <row r="702" spans="1:7" ht="21" customHeight="1" thickBot="1">
      <c r="A702" s="235"/>
      <c r="B702" s="236"/>
      <c r="C702" s="236"/>
      <c r="D702" s="237"/>
      <c r="E702" s="541"/>
      <c r="F702" s="238">
        <f>SUM(F694:F695)</f>
        <v>26840</v>
      </c>
      <c r="G702" s="239">
        <f>SUM(G695:G695)</f>
        <v>26840</v>
      </c>
    </row>
    <row r="703" spans="1:7" ht="21" customHeight="1" thickTop="1">
      <c r="A703" s="217" t="s">
        <v>90</v>
      </c>
      <c r="B703" s="240" t="s">
        <v>493</v>
      </c>
      <c r="C703" s="241"/>
      <c r="D703" s="242"/>
      <c r="E703" s="524"/>
      <c r="F703" s="531"/>
      <c r="G703" s="596"/>
    </row>
    <row r="704" spans="1:7" ht="21" customHeight="1">
      <c r="A704" s="244"/>
      <c r="B704" s="240"/>
      <c r="C704" s="241"/>
      <c r="D704" s="242"/>
      <c r="E704" s="524"/>
      <c r="F704" s="171"/>
      <c r="G704" s="593"/>
    </row>
    <row r="705" spans="1:7" ht="21" customHeight="1">
      <c r="A705" s="245">
        <v>1</v>
      </c>
      <c r="B705" s="746" t="s">
        <v>492</v>
      </c>
      <c r="C705" s="746"/>
      <c r="D705" s="746"/>
      <c r="E705" s="170" t="s">
        <v>46</v>
      </c>
      <c r="F705" s="524">
        <v>26840</v>
      </c>
      <c r="G705" s="593" t="s">
        <v>30</v>
      </c>
    </row>
    <row r="706" spans="1:7" ht="21" customHeight="1">
      <c r="A706" s="245"/>
      <c r="B706" s="746"/>
      <c r="C706" s="746"/>
      <c r="D706" s="746"/>
      <c r="E706" s="524"/>
      <c r="F706" s="171"/>
      <c r="G706" s="593"/>
    </row>
    <row r="707" spans="1:7" ht="21" customHeight="1">
      <c r="A707" s="245"/>
      <c r="B707" s="240"/>
      <c r="C707" s="247"/>
      <c r="D707" s="170"/>
      <c r="E707" s="526"/>
      <c r="F707" s="171"/>
      <c r="G707" s="593"/>
    </row>
    <row r="708" spans="1:7" ht="21" customHeight="1">
      <c r="A708" s="245"/>
      <c r="B708" s="522"/>
      <c r="C708" s="247"/>
      <c r="E708" s="170"/>
      <c r="F708" s="524"/>
      <c r="G708" s="593"/>
    </row>
    <row r="709" spans="1:7" ht="21" customHeight="1">
      <c r="A709" s="245"/>
      <c r="B709" s="747"/>
      <c r="C709" s="747"/>
      <c r="D709" s="747"/>
      <c r="E709" s="170"/>
      <c r="F709" s="526"/>
      <c r="G709" s="593"/>
    </row>
    <row r="710" spans="1:7" ht="21" customHeight="1" thickBot="1">
      <c r="A710" s="251"/>
      <c r="B710" s="567"/>
      <c r="C710" s="253" t="s">
        <v>70</v>
      </c>
      <c r="D710" s="219"/>
      <c r="E710" s="590">
        <f>SUM(F705:F709)</f>
        <v>26840</v>
      </c>
      <c r="F710" s="171"/>
      <c r="G710" s="593"/>
    </row>
    <row r="711" spans="1:7" ht="21" customHeight="1">
      <c r="A711" s="711" t="s">
        <v>34</v>
      </c>
      <c r="B711" s="712"/>
      <c r="C711" s="741" t="s">
        <v>439</v>
      </c>
      <c r="D711" s="742"/>
      <c r="E711" s="743"/>
      <c r="F711" s="734" t="s">
        <v>440</v>
      </c>
      <c r="G711" s="735"/>
    </row>
    <row r="712" spans="1:7" ht="21" customHeight="1">
      <c r="A712" s="586"/>
      <c r="B712" s="588"/>
      <c r="C712" s="419"/>
      <c r="D712" s="254"/>
      <c r="E712" s="566"/>
      <c r="F712" s="592"/>
      <c r="G712" s="593"/>
    </row>
    <row r="713" spans="1:7" ht="21" customHeight="1">
      <c r="A713" s="586"/>
      <c r="B713" s="588"/>
      <c r="C713" s="419"/>
      <c r="D713" s="171"/>
      <c r="E713" s="591"/>
      <c r="F713" s="419"/>
      <c r="G713" s="593"/>
    </row>
    <row r="714" spans="1:7" ht="21" customHeight="1">
      <c r="A714" s="714" t="s">
        <v>441</v>
      </c>
      <c r="B714" s="715"/>
      <c r="C714" s="729" t="s">
        <v>166</v>
      </c>
      <c r="D714" s="736"/>
      <c r="E714" s="730"/>
      <c r="F714" s="729" t="s">
        <v>441</v>
      </c>
      <c r="G714" s="730"/>
    </row>
    <row r="715" spans="1:7" ht="21" customHeight="1">
      <c r="A715" s="716" t="s">
        <v>442</v>
      </c>
      <c r="B715" s="717"/>
      <c r="C715" s="738" t="s">
        <v>490</v>
      </c>
      <c r="D715" s="739"/>
      <c r="E715" s="740"/>
      <c r="F715" s="731" t="s">
        <v>442</v>
      </c>
      <c r="G715" s="732"/>
    </row>
  </sheetData>
  <sheetProtection/>
  <mergeCells count="228">
    <mergeCell ref="F194:G194"/>
    <mergeCell ref="A197:B197"/>
    <mergeCell ref="C197:E197"/>
    <mergeCell ref="F197:G197"/>
    <mergeCell ref="A198:B198"/>
    <mergeCell ref="C198:E198"/>
    <mergeCell ref="F198:G198"/>
    <mergeCell ref="B187:D187"/>
    <mergeCell ref="B188:D188"/>
    <mergeCell ref="B189:D189"/>
    <mergeCell ref="B190:D190"/>
    <mergeCell ref="B192:D192"/>
    <mergeCell ref="A194:B194"/>
    <mergeCell ref="C194:E194"/>
    <mergeCell ref="F170:G170"/>
    <mergeCell ref="E171:G171"/>
    <mergeCell ref="A172:G172"/>
    <mergeCell ref="A174:D174"/>
    <mergeCell ref="B185:D185"/>
    <mergeCell ref="B186:D186"/>
    <mergeCell ref="B19:D19"/>
    <mergeCell ref="B20:D20"/>
    <mergeCell ref="B21:D21"/>
    <mergeCell ref="B72:D72"/>
    <mergeCell ref="A90:D90"/>
    <mergeCell ref="A116:B116"/>
    <mergeCell ref="C116:E116"/>
    <mergeCell ref="A26:B26"/>
    <mergeCell ref="A29:B29"/>
    <mergeCell ref="E87:G87"/>
    <mergeCell ref="F116:G116"/>
    <mergeCell ref="A119:B119"/>
    <mergeCell ref="C119:E119"/>
    <mergeCell ref="F119:G119"/>
    <mergeCell ref="A595:D595"/>
    <mergeCell ref="B596:D596"/>
    <mergeCell ref="A551:G551"/>
    <mergeCell ref="A553:D553"/>
    <mergeCell ref="E465:G465"/>
    <mergeCell ref="A466:G466"/>
    <mergeCell ref="C493:E493"/>
    <mergeCell ref="A408:B408"/>
    <mergeCell ref="C408:E408"/>
    <mergeCell ref="F408:G408"/>
    <mergeCell ref="A409:B409"/>
    <mergeCell ref="C409:E409"/>
    <mergeCell ref="F409:G409"/>
    <mergeCell ref="A384:D384"/>
    <mergeCell ref="A405:B405"/>
    <mergeCell ref="C405:E405"/>
    <mergeCell ref="F405:G405"/>
    <mergeCell ref="C492:E492"/>
    <mergeCell ref="F492:G492"/>
    <mergeCell ref="F489:G489"/>
    <mergeCell ref="F451:G451"/>
    <mergeCell ref="A369:B369"/>
    <mergeCell ref="C369:E369"/>
    <mergeCell ref="F369:G369"/>
    <mergeCell ref="F380:G380"/>
    <mergeCell ref="E381:G381"/>
    <mergeCell ref="A382:G382"/>
    <mergeCell ref="A344:D344"/>
    <mergeCell ref="A365:B365"/>
    <mergeCell ref="C365:E365"/>
    <mergeCell ref="F365:G365"/>
    <mergeCell ref="A368:B368"/>
    <mergeCell ref="C368:E368"/>
    <mergeCell ref="F368:G368"/>
    <mergeCell ref="A327:B327"/>
    <mergeCell ref="C327:E327"/>
    <mergeCell ref="F327:G327"/>
    <mergeCell ref="F340:G340"/>
    <mergeCell ref="E341:G341"/>
    <mergeCell ref="A342:G342"/>
    <mergeCell ref="A301:D301"/>
    <mergeCell ref="A323:B323"/>
    <mergeCell ref="C323:E323"/>
    <mergeCell ref="F323:G323"/>
    <mergeCell ref="A326:B326"/>
    <mergeCell ref="C326:E326"/>
    <mergeCell ref="F326:G326"/>
    <mergeCell ref="F284:G284"/>
    <mergeCell ref="F255:G255"/>
    <mergeCell ref="E256:G256"/>
    <mergeCell ref="F297:G297"/>
    <mergeCell ref="E298:G298"/>
    <mergeCell ref="A299:G299"/>
    <mergeCell ref="F26:G26"/>
    <mergeCell ref="C26:E26"/>
    <mergeCell ref="C29:E29"/>
    <mergeCell ref="C30:E30"/>
    <mergeCell ref="F29:G29"/>
    <mergeCell ref="F148:G148"/>
    <mergeCell ref="A130:G130"/>
    <mergeCell ref="A132:D132"/>
    <mergeCell ref="E129:G129"/>
    <mergeCell ref="F86:G86"/>
    <mergeCell ref="C120:E120"/>
    <mergeCell ref="F120:G120"/>
    <mergeCell ref="A492:B492"/>
    <mergeCell ref="C280:E280"/>
    <mergeCell ref="F280:G280"/>
    <mergeCell ref="D164:G164"/>
    <mergeCell ref="A152:B152"/>
    <mergeCell ref="C152:E152"/>
    <mergeCell ref="A283:B283"/>
    <mergeCell ref="C283:E283"/>
    <mergeCell ref="F30:G30"/>
    <mergeCell ref="A30:B30"/>
    <mergeCell ref="F43:G43"/>
    <mergeCell ref="E44:G44"/>
    <mergeCell ref="F151:G151"/>
    <mergeCell ref="F128:G128"/>
    <mergeCell ref="A148:B148"/>
    <mergeCell ref="C148:E148"/>
    <mergeCell ref="A88:G88"/>
    <mergeCell ref="A120:B120"/>
    <mergeCell ref="A670:B670"/>
    <mergeCell ref="C670:E670"/>
    <mergeCell ref="F670:G670"/>
    <mergeCell ref="A671:B671"/>
    <mergeCell ref="C671:E671"/>
    <mergeCell ref="F671:G671"/>
    <mergeCell ref="E508:G508"/>
    <mergeCell ref="E160:F160"/>
    <mergeCell ref="A468:D468"/>
    <mergeCell ref="A489:B489"/>
    <mergeCell ref="C489:E489"/>
    <mergeCell ref="F464:G464"/>
    <mergeCell ref="F283:G283"/>
    <mergeCell ref="E163:H163"/>
    <mergeCell ref="A284:B284"/>
    <mergeCell ref="C284:E284"/>
    <mergeCell ref="F152:G152"/>
    <mergeCell ref="A151:B151"/>
    <mergeCell ref="C151:E151"/>
    <mergeCell ref="F493:G493"/>
    <mergeCell ref="A493:B493"/>
    <mergeCell ref="A257:G257"/>
    <mergeCell ref="A259:D259"/>
    <mergeCell ref="A280:B280"/>
    <mergeCell ref="A451:B451"/>
    <mergeCell ref="C451:E451"/>
    <mergeCell ref="E157:F157"/>
    <mergeCell ref="D158:G158"/>
    <mergeCell ref="C585:E585"/>
    <mergeCell ref="F585:G585"/>
    <mergeCell ref="A588:B588"/>
    <mergeCell ref="B523:D523"/>
    <mergeCell ref="F549:G549"/>
    <mergeCell ref="E550:G550"/>
    <mergeCell ref="B584:D584"/>
    <mergeCell ref="F507:G507"/>
    <mergeCell ref="B18:D18"/>
    <mergeCell ref="B24:D24"/>
    <mergeCell ref="F78:G78"/>
    <mergeCell ref="A81:B81"/>
    <mergeCell ref="C81:E81"/>
    <mergeCell ref="F81:G81"/>
    <mergeCell ref="B69:D69"/>
    <mergeCell ref="A78:B78"/>
    <mergeCell ref="C78:E78"/>
    <mergeCell ref="A47:D47"/>
    <mergeCell ref="F2:G2"/>
    <mergeCell ref="E3:G3"/>
    <mergeCell ref="A4:G4"/>
    <mergeCell ref="A6:D6"/>
    <mergeCell ref="B17:D17"/>
    <mergeCell ref="A82:B82"/>
    <mergeCell ref="C82:E82"/>
    <mergeCell ref="F82:G82"/>
    <mergeCell ref="B22:D22"/>
    <mergeCell ref="A45:G45"/>
    <mergeCell ref="F689:G689"/>
    <mergeCell ref="E690:G690"/>
    <mergeCell ref="F422:G422"/>
    <mergeCell ref="E423:G423"/>
    <mergeCell ref="A424:G424"/>
    <mergeCell ref="A426:D426"/>
    <mergeCell ref="F447:G447"/>
    <mergeCell ref="A450:B450"/>
    <mergeCell ref="C450:E450"/>
    <mergeCell ref="F450:G450"/>
    <mergeCell ref="A691:G691"/>
    <mergeCell ref="F715:G715"/>
    <mergeCell ref="B709:D709"/>
    <mergeCell ref="A711:B711"/>
    <mergeCell ref="C711:E711"/>
    <mergeCell ref="F711:G711"/>
    <mergeCell ref="A714:B714"/>
    <mergeCell ref="C714:E714"/>
    <mergeCell ref="F714:G714"/>
    <mergeCell ref="A693:D693"/>
    <mergeCell ref="B705:D705"/>
    <mergeCell ref="B706:D706"/>
    <mergeCell ref="A715:B715"/>
    <mergeCell ref="C715:E715"/>
    <mergeCell ref="A447:B447"/>
    <mergeCell ref="C447:E447"/>
    <mergeCell ref="A638:D638"/>
    <mergeCell ref="A667:B667"/>
    <mergeCell ref="C667:E667"/>
    <mergeCell ref="A627:B627"/>
    <mergeCell ref="F591:G591"/>
    <mergeCell ref="A509:G509"/>
    <mergeCell ref="F589:G589"/>
    <mergeCell ref="C588:E588"/>
    <mergeCell ref="F588:G588"/>
    <mergeCell ref="A589:B589"/>
    <mergeCell ref="C589:E589"/>
    <mergeCell ref="A511:D511"/>
    <mergeCell ref="A585:B585"/>
    <mergeCell ref="E592:G592"/>
    <mergeCell ref="A593:G593"/>
    <mergeCell ref="F634:G634"/>
    <mergeCell ref="E635:G635"/>
    <mergeCell ref="A636:G636"/>
    <mergeCell ref="C631:E631"/>
    <mergeCell ref="F631:G631"/>
    <mergeCell ref="E620:F620"/>
    <mergeCell ref="D621:G621"/>
    <mergeCell ref="C627:E627"/>
    <mergeCell ref="F627:G627"/>
    <mergeCell ref="A630:B630"/>
    <mergeCell ref="F667:G667"/>
    <mergeCell ref="C630:E630"/>
    <mergeCell ref="F630:G630"/>
    <mergeCell ref="A631:B631"/>
  </mergeCells>
  <printOptions horizontalCentered="1"/>
  <pageMargins left="0.11811023622047245" right="0.11811023622047245" top="0.3937007874015748" bottom="0.3937007874015748" header="0.2362204724409449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60"/>
  <sheetViews>
    <sheetView view="pageBreakPreview" zoomScale="74" zoomScaleSheetLayoutView="74" zoomScalePageLayoutView="0" workbookViewId="0" topLeftCell="A16">
      <selection activeCell="L50" sqref="L50"/>
    </sheetView>
  </sheetViews>
  <sheetFormatPr defaultColWidth="25.140625" defaultRowHeight="21.75"/>
  <cols>
    <col min="1" max="1" width="31.421875" style="266" customWidth="1"/>
    <col min="2" max="2" width="8.00390625" style="266" customWidth="1"/>
    <col min="3" max="3" width="13.8515625" style="386" customWidth="1"/>
    <col min="4" max="4" width="13.8515625" style="383" customWidth="1"/>
    <col min="5" max="5" width="12.7109375" style="384" bestFit="1" customWidth="1"/>
    <col min="6" max="6" width="12.7109375" style="372" bestFit="1" customWidth="1"/>
    <col min="7" max="7" width="12.7109375" style="373" bestFit="1" customWidth="1"/>
    <col min="8" max="8" width="12.7109375" style="374" bestFit="1" customWidth="1"/>
    <col min="9" max="9" width="12.00390625" style="375" customWidth="1"/>
    <col min="10" max="10" width="12.7109375" style="376" bestFit="1" customWidth="1"/>
    <col min="11" max="11" width="13.8515625" style="377" bestFit="1" customWidth="1"/>
    <col min="12" max="12" width="14.00390625" style="378" customWidth="1"/>
    <col min="13" max="13" width="15.00390625" style="290" customWidth="1"/>
    <col min="14" max="14" width="25.140625" style="290" customWidth="1"/>
    <col min="15" max="16384" width="25.140625" style="266" customWidth="1"/>
  </cols>
  <sheetData>
    <row r="1" spans="1:18" ht="22.5" customHeight="1">
      <c r="A1" s="756" t="s">
        <v>697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263"/>
      <c r="N1" s="264"/>
      <c r="O1" s="265"/>
      <c r="P1" s="265"/>
      <c r="Q1" s="265"/>
      <c r="R1" s="265"/>
    </row>
    <row r="2" spans="1:12" s="278" customFormat="1" ht="22.5" customHeight="1">
      <c r="A2" s="267" t="s">
        <v>8</v>
      </c>
      <c r="B2" s="267" t="s">
        <v>47</v>
      </c>
      <c r="C2" s="268" t="s">
        <v>9</v>
      </c>
      <c r="D2" s="269" t="s">
        <v>10</v>
      </c>
      <c r="E2" s="270" t="s">
        <v>158</v>
      </c>
      <c r="F2" s="271" t="s">
        <v>22</v>
      </c>
      <c r="G2" s="272" t="s">
        <v>19</v>
      </c>
      <c r="H2" s="273" t="s">
        <v>21</v>
      </c>
      <c r="I2" s="274" t="s">
        <v>159</v>
      </c>
      <c r="J2" s="275" t="s">
        <v>20</v>
      </c>
      <c r="K2" s="276" t="s">
        <v>23</v>
      </c>
      <c r="L2" s="277" t="s">
        <v>24</v>
      </c>
    </row>
    <row r="3" spans="1:14" ht="22.5" customHeight="1">
      <c r="A3" s="279" t="s">
        <v>78</v>
      </c>
      <c r="B3" s="280">
        <v>111100</v>
      </c>
      <c r="C3" s="281">
        <v>0</v>
      </c>
      <c r="D3" s="281">
        <v>0</v>
      </c>
      <c r="E3" s="282">
        <v>0</v>
      </c>
      <c r="F3" s="283">
        <v>0</v>
      </c>
      <c r="G3" s="284">
        <f>'ใบผ่านรายการ 1 '!G6</f>
        <v>13475</v>
      </c>
      <c r="H3" s="285">
        <f>'ใบผ่านรายการ 1 '!H6</f>
        <v>13475</v>
      </c>
      <c r="I3" s="286">
        <v>0</v>
      </c>
      <c r="J3" s="287">
        <v>0</v>
      </c>
      <c r="K3" s="288">
        <f>C3+E3+G3+I3-D3-F3-H3-J3</f>
        <v>0</v>
      </c>
      <c r="L3" s="289">
        <v>0</v>
      </c>
      <c r="N3" s="266"/>
    </row>
    <row r="4" spans="1:14" ht="22.5" customHeight="1">
      <c r="A4" s="279" t="s">
        <v>25</v>
      </c>
      <c r="B4" s="280">
        <v>111203</v>
      </c>
      <c r="C4" s="281">
        <v>0</v>
      </c>
      <c r="D4" s="281">
        <v>0</v>
      </c>
      <c r="E4" s="282">
        <v>0</v>
      </c>
      <c r="F4" s="291">
        <v>0</v>
      </c>
      <c r="G4" s="292">
        <f>'ใบผ่านรายการ 1 '!G7</f>
        <v>0</v>
      </c>
      <c r="H4" s="293">
        <v>0</v>
      </c>
      <c r="I4" s="286">
        <v>0</v>
      </c>
      <c r="J4" s="294">
        <v>0</v>
      </c>
      <c r="K4" s="288">
        <f>C4+E4+G4+I4-D4-F4-H4-J4</f>
        <v>0</v>
      </c>
      <c r="L4" s="295">
        <v>0</v>
      </c>
      <c r="M4" s="266"/>
      <c r="N4" s="296"/>
    </row>
    <row r="5" spans="1:14" ht="22.5" customHeight="1">
      <c r="A5" s="279" t="s">
        <v>102</v>
      </c>
      <c r="B5" s="297" t="s">
        <v>236</v>
      </c>
      <c r="C5" s="281">
        <v>40087163.12</v>
      </c>
      <c r="D5" s="281">
        <v>0</v>
      </c>
      <c r="E5" s="282">
        <v>0</v>
      </c>
      <c r="F5" s="291">
        <v>0</v>
      </c>
      <c r="G5" s="292">
        <f>'ใบผ่านรายการ 1 '!G8</f>
        <v>1854630.72</v>
      </c>
      <c r="H5" s="293">
        <v>0</v>
      </c>
      <c r="I5" s="286">
        <v>0</v>
      </c>
      <c r="J5" s="294">
        <f>'ใบผ่านรายการ  2'!F46</f>
        <v>2932928.95</v>
      </c>
      <c r="K5" s="288">
        <f>C5+E5+G5+I5-D5-F5-H5-J5</f>
        <v>39008864.88999999</v>
      </c>
      <c r="L5" s="295">
        <v>0</v>
      </c>
      <c r="M5" s="296"/>
      <c r="N5" s="298">
        <f>SUM(K4:K8)+K10</f>
        <v>40405777.3</v>
      </c>
    </row>
    <row r="6" spans="1:14" ht="22.5" customHeight="1">
      <c r="A6" s="299" t="s">
        <v>130</v>
      </c>
      <c r="B6" s="261">
        <v>111202</v>
      </c>
      <c r="C6" s="281">
        <v>968294.87</v>
      </c>
      <c r="D6" s="281">
        <v>0</v>
      </c>
      <c r="E6" s="300">
        <v>0</v>
      </c>
      <c r="F6" s="291">
        <v>0</v>
      </c>
      <c r="G6" s="292">
        <f>'ใบผ่านรายการ 1 '!G9</f>
        <v>0</v>
      </c>
      <c r="H6" s="293">
        <v>0</v>
      </c>
      <c r="I6" s="286">
        <v>0</v>
      </c>
      <c r="J6" s="294">
        <v>0</v>
      </c>
      <c r="K6" s="288">
        <f aca="true" t="shared" si="0" ref="K6:K32">C6+E6+G6+I6-D6-F6-H6-J6</f>
        <v>968294.87</v>
      </c>
      <c r="L6" s="295">
        <v>0</v>
      </c>
      <c r="M6" s="266"/>
      <c r="N6" s="266"/>
    </row>
    <row r="7" spans="1:14" ht="22.5" customHeight="1">
      <c r="A7" s="299" t="s">
        <v>133</v>
      </c>
      <c r="B7" s="261" t="s">
        <v>233</v>
      </c>
      <c r="C7" s="281">
        <v>77.27</v>
      </c>
      <c r="D7" s="281">
        <v>0</v>
      </c>
      <c r="E7" s="282">
        <v>0</v>
      </c>
      <c r="F7" s="291">
        <v>0</v>
      </c>
      <c r="G7" s="292">
        <f>'ใบผ่านรายการ 1 '!G10</f>
        <v>0</v>
      </c>
      <c r="H7" s="293">
        <v>0</v>
      </c>
      <c r="I7" s="286">
        <v>0</v>
      </c>
      <c r="J7" s="294">
        <v>0</v>
      </c>
      <c r="K7" s="288">
        <f t="shared" si="0"/>
        <v>77.27</v>
      </c>
      <c r="L7" s="295">
        <v>0</v>
      </c>
      <c r="M7" s="296">
        <f>SUM(C3:C8)</f>
        <v>41484025.53</v>
      </c>
      <c r="N7" s="266"/>
    </row>
    <row r="8" spans="1:14" ht="22.5" customHeight="1">
      <c r="A8" s="299" t="s">
        <v>121</v>
      </c>
      <c r="B8" s="301" t="s">
        <v>238</v>
      </c>
      <c r="C8" s="281">
        <v>428490.27</v>
      </c>
      <c r="D8" s="281">
        <v>0</v>
      </c>
      <c r="E8" s="282">
        <v>0</v>
      </c>
      <c r="F8" s="291">
        <v>0</v>
      </c>
      <c r="G8" s="292">
        <f>'ใบผ่านรายการ 1 '!G11</f>
        <v>0</v>
      </c>
      <c r="H8" s="293">
        <v>0</v>
      </c>
      <c r="I8" s="286">
        <v>0</v>
      </c>
      <c r="J8" s="294">
        <f>'ใบผ่านรายการ  2'!F47</f>
        <v>0</v>
      </c>
      <c r="K8" s="288">
        <f t="shared" si="0"/>
        <v>428490.27</v>
      </c>
      <c r="L8" s="295">
        <v>0</v>
      </c>
      <c r="M8" s="296">
        <f>SUM(K3:K8)</f>
        <v>40405727.3</v>
      </c>
      <c r="N8" s="266"/>
    </row>
    <row r="9" spans="1:14" ht="22.5" customHeight="1">
      <c r="A9" s="299" t="s">
        <v>43</v>
      </c>
      <c r="B9" s="261">
        <v>112002</v>
      </c>
      <c r="C9" s="281">
        <v>5652382.32</v>
      </c>
      <c r="D9" s="281">
        <v>0</v>
      </c>
      <c r="E9" s="302">
        <v>0</v>
      </c>
      <c r="F9" s="291"/>
      <c r="G9" s="292">
        <v>0</v>
      </c>
      <c r="H9" s="293">
        <v>0</v>
      </c>
      <c r="I9" s="286">
        <f>'ใบผ่านรายการ  2'!E44</f>
        <v>0</v>
      </c>
      <c r="J9" s="294">
        <v>0</v>
      </c>
      <c r="K9" s="288">
        <f t="shared" si="0"/>
        <v>5652382.32</v>
      </c>
      <c r="L9" s="295">
        <v>0</v>
      </c>
      <c r="M9" s="266"/>
      <c r="N9" s="266"/>
    </row>
    <row r="10" spans="1:14" ht="22.5" customHeight="1">
      <c r="A10" s="299" t="s">
        <v>243</v>
      </c>
      <c r="B10" s="260" t="s">
        <v>244</v>
      </c>
      <c r="C10" s="281">
        <v>50</v>
      </c>
      <c r="D10" s="303">
        <v>0</v>
      </c>
      <c r="E10" s="302">
        <v>0</v>
      </c>
      <c r="F10" s="291">
        <v>0</v>
      </c>
      <c r="G10" s="292">
        <v>0</v>
      </c>
      <c r="H10" s="293">
        <f>'ใบผ่านรายการ 1 '!H14</f>
        <v>0</v>
      </c>
      <c r="I10" s="286">
        <f>'ใบผ่านรายการ  2'!E45</f>
        <v>0</v>
      </c>
      <c r="J10" s="294">
        <v>0</v>
      </c>
      <c r="K10" s="288">
        <f>C10+E10+G10+I10-D10-F10-H10-J10</f>
        <v>50</v>
      </c>
      <c r="L10" s="295"/>
      <c r="M10" s="266"/>
      <c r="N10" s="266"/>
    </row>
    <row r="11" spans="1:14" ht="22.5" customHeight="1">
      <c r="A11" s="279" t="s">
        <v>599</v>
      </c>
      <c r="B11" s="657" t="s">
        <v>600</v>
      </c>
      <c r="C11" s="281">
        <v>0</v>
      </c>
      <c r="D11" s="303">
        <v>0</v>
      </c>
      <c r="E11" s="302">
        <v>0</v>
      </c>
      <c r="F11" s="291">
        <v>0</v>
      </c>
      <c r="G11" s="292">
        <v>0</v>
      </c>
      <c r="H11" s="293">
        <f>'ใบผ่านรายการ 1 '!H15</f>
        <v>0</v>
      </c>
      <c r="I11" s="286">
        <f>'ใบผ่านรายการ  2'!E46</f>
        <v>0</v>
      </c>
      <c r="J11" s="294">
        <v>0</v>
      </c>
      <c r="K11" s="288">
        <v>0</v>
      </c>
      <c r="L11" s="295">
        <f>D11+F11+H11+J11-C11-E11-G11-I11</f>
        <v>0</v>
      </c>
      <c r="M11" s="266"/>
      <c r="N11" s="266"/>
    </row>
    <row r="12" spans="1:12" s="310" customFormat="1" ht="22.5" customHeight="1">
      <c r="A12" s="279" t="s">
        <v>45</v>
      </c>
      <c r="B12" s="280">
        <v>511000</v>
      </c>
      <c r="C12" s="281">
        <v>6251444.42</v>
      </c>
      <c r="D12" s="281">
        <v>0</v>
      </c>
      <c r="E12" s="305">
        <f>ใบผ่านทั่วไป!F7</f>
        <v>465900</v>
      </c>
      <c r="F12" s="306">
        <v>0</v>
      </c>
      <c r="G12" s="292">
        <v>0</v>
      </c>
      <c r="H12" s="315">
        <f>'ใบผ่านรายการ 1 '!H32</f>
        <v>800</v>
      </c>
      <c r="I12" s="307">
        <f>'ใบผ่านรายการ  2'!E6</f>
        <v>66909.75</v>
      </c>
      <c r="J12" s="308">
        <v>0</v>
      </c>
      <c r="K12" s="288">
        <f>C12+E12+G12+I12-D12-F12-H12-J12</f>
        <v>6783454.17</v>
      </c>
      <c r="L12" s="309">
        <v>0</v>
      </c>
    </row>
    <row r="13" spans="1:13" s="310" customFormat="1" ht="22.5" customHeight="1">
      <c r="A13" s="311" t="s">
        <v>215</v>
      </c>
      <c r="B13" s="312">
        <v>511000</v>
      </c>
      <c r="C13" s="313">
        <v>63706</v>
      </c>
      <c r="D13" s="314">
        <v>0</v>
      </c>
      <c r="E13" s="314">
        <v>0</v>
      </c>
      <c r="F13" s="314">
        <v>0</v>
      </c>
      <c r="G13" s="315">
        <v>0</v>
      </c>
      <c r="H13" s="315">
        <v>0</v>
      </c>
      <c r="I13" s="315">
        <f>'ใบผ่านรายการ  2'!E7</f>
        <v>7963.25</v>
      </c>
      <c r="J13" s="314">
        <v>0</v>
      </c>
      <c r="K13" s="313">
        <f>C13+E13+G13+I13-D13-F13-H13-J13</f>
        <v>71669.25</v>
      </c>
      <c r="L13" s="314">
        <v>0</v>
      </c>
      <c r="M13" s="324">
        <f>C12+K13</f>
        <v>6323113.67</v>
      </c>
    </row>
    <row r="14" spans="1:12" s="310" customFormat="1" ht="22.5" customHeight="1">
      <c r="A14" s="299" t="s">
        <v>180</v>
      </c>
      <c r="B14" s="261">
        <v>521000</v>
      </c>
      <c r="C14" s="281">
        <v>1749760</v>
      </c>
      <c r="D14" s="318">
        <v>0</v>
      </c>
      <c r="E14" s="305"/>
      <c r="F14" s="306"/>
      <c r="G14" s="292">
        <v>0</v>
      </c>
      <c r="H14" s="293">
        <v>0</v>
      </c>
      <c r="I14" s="319">
        <f>'ใบผ่านรายการ  2'!E8</f>
        <v>218720</v>
      </c>
      <c r="J14" s="308">
        <v>0</v>
      </c>
      <c r="K14" s="288">
        <f>C14+E14+G14+I14-D14-F14-H14-J14</f>
        <v>1968480</v>
      </c>
      <c r="L14" s="320">
        <v>0</v>
      </c>
    </row>
    <row r="15" spans="1:12" s="310" customFormat="1" ht="22.5" customHeight="1">
      <c r="A15" s="299" t="s">
        <v>182</v>
      </c>
      <c r="B15" s="261">
        <v>522000</v>
      </c>
      <c r="C15" s="281">
        <v>8619893</v>
      </c>
      <c r="D15" s="318">
        <v>0</v>
      </c>
      <c r="E15" s="305">
        <v>0</v>
      </c>
      <c r="F15" s="306">
        <v>0</v>
      </c>
      <c r="G15" s="292">
        <v>0</v>
      </c>
      <c r="H15" s="293">
        <f>'ใบผ่านรายการ 1 '!H28</f>
        <v>0</v>
      </c>
      <c r="I15" s="319">
        <f>'ใบผ่านรายการ  2'!E9</f>
        <v>1048366</v>
      </c>
      <c r="J15" s="308">
        <v>0</v>
      </c>
      <c r="K15" s="288">
        <f t="shared" si="0"/>
        <v>9668259</v>
      </c>
      <c r="L15" s="320">
        <v>0</v>
      </c>
    </row>
    <row r="16" spans="1:13" s="317" customFormat="1" ht="22.5" customHeight="1">
      <c r="A16" s="321" t="s">
        <v>204</v>
      </c>
      <c r="B16" s="322">
        <v>522000</v>
      </c>
      <c r="C16" s="313">
        <v>0</v>
      </c>
      <c r="D16" s="314">
        <v>0</v>
      </c>
      <c r="E16" s="314">
        <v>0</v>
      </c>
      <c r="F16" s="314">
        <v>0</v>
      </c>
      <c r="G16" s="315">
        <v>0</v>
      </c>
      <c r="H16" s="315">
        <v>0</v>
      </c>
      <c r="I16" s="315">
        <v>0</v>
      </c>
      <c r="J16" s="314">
        <v>0</v>
      </c>
      <c r="K16" s="313">
        <f t="shared" si="0"/>
        <v>0</v>
      </c>
      <c r="L16" s="314">
        <v>0</v>
      </c>
      <c r="M16" s="316">
        <f>SUM(K14:K16)</f>
        <v>11636739</v>
      </c>
    </row>
    <row r="17" spans="1:14" s="310" customFormat="1" ht="22.5" customHeight="1">
      <c r="A17" s="299" t="s">
        <v>183</v>
      </c>
      <c r="B17" s="261">
        <v>522000</v>
      </c>
      <c r="C17" s="281">
        <v>516080</v>
      </c>
      <c r="D17" s="318">
        <v>0</v>
      </c>
      <c r="E17" s="305">
        <v>0</v>
      </c>
      <c r="F17" s="306">
        <v>0</v>
      </c>
      <c r="G17" s="292">
        <v>0</v>
      </c>
      <c r="H17" s="293">
        <f>'ใบผ่านรายการ 1 '!H29</f>
        <v>0</v>
      </c>
      <c r="I17" s="319">
        <f>'ใบผ่านรายการ  2'!E10</f>
        <v>68950</v>
      </c>
      <c r="J17" s="308">
        <v>0</v>
      </c>
      <c r="K17" s="288">
        <f t="shared" si="0"/>
        <v>585030</v>
      </c>
      <c r="L17" s="320">
        <v>0</v>
      </c>
      <c r="N17" s="324">
        <f>C15+C17+C19</f>
        <v>11879533</v>
      </c>
    </row>
    <row r="18" spans="1:13" s="317" customFormat="1" ht="22.5" customHeight="1">
      <c r="A18" s="323" t="s">
        <v>205</v>
      </c>
      <c r="B18" s="322">
        <v>522000</v>
      </c>
      <c r="C18" s="313">
        <v>0</v>
      </c>
      <c r="D18" s="314">
        <v>0</v>
      </c>
      <c r="E18" s="314">
        <v>0</v>
      </c>
      <c r="F18" s="314">
        <v>0</v>
      </c>
      <c r="G18" s="315">
        <v>0</v>
      </c>
      <c r="H18" s="315">
        <v>0</v>
      </c>
      <c r="I18" s="315">
        <v>0</v>
      </c>
      <c r="J18" s="314">
        <v>0</v>
      </c>
      <c r="K18" s="313">
        <f t="shared" si="0"/>
        <v>0</v>
      </c>
      <c r="L18" s="314">
        <v>0</v>
      </c>
      <c r="M18" s="316">
        <f>SUM(K17:K18)</f>
        <v>585030</v>
      </c>
    </row>
    <row r="19" spans="1:14" s="310" customFormat="1" ht="22.5" customHeight="1">
      <c r="A19" s="299" t="s">
        <v>184</v>
      </c>
      <c r="B19" s="261">
        <v>522000</v>
      </c>
      <c r="C19" s="281">
        <v>2743560</v>
      </c>
      <c r="D19" s="318">
        <v>0</v>
      </c>
      <c r="E19" s="305">
        <v>0</v>
      </c>
      <c r="F19" s="306">
        <v>0</v>
      </c>
      <c r="G19" s="292">
        <v>0</v>
      </c>
      <c r="H19" s="293">
        <v>0</v>
      </c>
      <c r="I19" s="319">
        <f>'ใบผ่านรายการ  2'!E11</f>
        <v>367945</v>
      </c>
      <c r="J19" s="308">
        <v>0</v>
      </c>
      <c r="K19" s="288">
        <f t="shared" si="0"/>
        <v>3111505</v>
      </c>
      <c r="L19" s="320">
        <v>0</v>
      </c>
      <c r="N19" s="324">
        <f>SUM(K15:K20)</f>
        <v>13364794</v>
      </c>
    </row>
    <row r="20" spans="1:13" s="317" customFormat="1" ht="22.5" customHeight="1">
      <c r="A20" s="321" t="s">
        <v>202</v>
      </c>
      <c r="B20" s="322">
        <v>522000</v>
      </c>
      <c r="C20" s="313">
        <v>0</v>
      </c>
      <c r="D20" s="314">
        <v>0</v>
      </c>
      <c r="E20" s="314">
        <v>0</v>
      </c>
      <c r="F20" s="314">
        <v>0</v>
      </c>
      <c r="G20" s="315">
        <v>0</v>
      </c>
      <c r="H20" s="315">
        <v>0</v>
      </c>
      <c r="I20" s="315">
        <v>0</v>
      </c>
      <c r="J20" s="314">
        <v>0</v>
      </c>
      <c r="K20" s="313">
        <f t="shared" si="0"/>
        <v>0</v>
      </c>
      <c r="L20" s="314">
        <v>0</v>
      </c>
      <c r="M20" s="316">
        <f>SUM(K19:K20)</f>
        <v>3111505</v>
      </c>
    </row>
    <row r="21" spans="1:14" s="310" customFormat="1" ht="22.5" customHeight="1">
      <c r="A21" s="299" t="s">
        <v>0</v>
      </c>
      <c r="B21" s="261">
        <v>531000</v>
      </c>
      <c r="C21" s="281">
        <v>274942.5</v>
      </c>
      <c r="D21" s="318">
        <v>0</v>
      </c>
      <c r="E21" s="305">
        <v>0</v>
      </c>
      <c r="F21" s="306">
        <v>0</v>
      </c>
      <c r="G21" s="292">
        <v>0</v>
      </c>
      <c r="H21" s="293">
        <v>0</v>
      </c>
      <c r="I21" s="319">
        <f>'ใบผ่านรายการ  2'!E12</f>
        <v>26600</v>
      </c>
      <c r="J21" s="308">
        <v>0</v>
      </c>
      <c r="K21" s="288">
        <f t="shared" si="0"/>
        <v>301542.5</v>
      </c>
      <c r="L21" s="320">
        <v>0</v>
      </c>
      <c r="N21" s="324">
        <f>SUM(G12:G32)</f>
        <v>0</v>
      </c>
    </row>
    <row r="22" spans="1:14" s="317" customFormat="1" ht="22.5" customHeight="1">
      <c r="A22" s="321" t="s">
        <v>203</v>
      </c>
      <c r="B22" s="322">
        <v>531000</v>
      </c>
      <c r="C22" s="313">
        <v>113800</v>
      </c>
      <c r="D22" s="314">
        <v>0</v>
      </c>
      <c r="E22" s="315">
        <v>0</v>
      </c>
      <c r="F22" s="314">
        <v>0</v>
      </c>
      <c r="G22" s="315">
        <v>0</v>
      </c>
      <c r="H22" s="315">
        <v>0</v>
      </c>
      <c r="I22" s="315">
        <f>'ใบผ่านรายการ  2'!E13</f>
        <v>9000</v>
      </c>
      <c r="J22" s="314">
        <v>0</v>
      </c>
      <c r="K22" s="313">
        <f t="shared" si="0"/>
        <v>122800</v>
      </c>
      <c r="L22" s="314">
        <v>0</v>
      </c>
      <c r="M22" s="316">
        <f>SUM(K21:K22)</f>
        <v>424342.5</v>
      </c>
      <c r="N22" s="316">
        <f>C21+C22</f>
        <v>388742.5</v>
      </c>
    </row>
    <row r="23" spans="1:12" s="310" customFormat="1" ht="22.5" customHeight="1">
      <c r="A23" s="299" t="s">
        <v>1</v>
      </c>
      <c r="B23" s="261">
        <v>532000</v>
      </c>
      <c r="C23" s="281">
        <v>3782121.99</v>
      </c>
      <c r="D23" s="318">
        <v>0</v>
      </c>
      <c r="E23" s="305">
        <f>ใบผ่านทั่วไป!F8</f>
        <v>34000</v>
      </c>
      <c r="F23" s="306">
        <v>0</v>
      </c>
      <c r="G23" s="292">
        <v>0</v>
      </c>
      <c r="H23" s="293">
        <f>'ใบผ่านรายการ 1 '!H35</f>
        <v>0</v>
      </c>
      <c r="I23" s="325">
        <f>'ใบผ่านรายการ  2'!E14</f>
        <v>185071.11</v>
      </c>
      <c r="J23" s="308">
        <v>0</v>
      </c>
      <c r="K23" s="288">
        <f t="shared" si="0"/>
        <v>4001193.1</v>
      </c>
      <c r="L23" s="320">
        <v>0</v>
      </c>
    </row>
    <row r="24" spans="1:13" s="317" customFormat="1" ht="22.5" customHeight="1">
      <c r="A24" s="321" t="s">
        <v>206</v>
      </c>
      <c r="B24" s="322">
        <v>532000</v>
      </c>
      <c r="C24" s="313">
        <v>0</v>
      </c>
      <c r="D24" s="314">
        <v>0</v>
      </c>
      <c r="E24" s="314">
        <v>0</v>
      </c>
      <c r="F24" s="314">
        <v>0</v>
      </c>
      <c r="G24" s="315">
        <v>0</v>
      </c>
      <c r="H24" s="315">
        <v>0</v>
      </c>
      <c r="I24" s="315">
        <v>0</v>
      </c>
      <c r="J24" s="314">
        <v>0</v>
      </c>
      <c r="K24" s="313">
        <f t="shared" si="0"/>
        <v>0</v>
      </c>
      <c r="L24" s="314">
        <v>0</v>
      </c>
      <c r="M24" s="316">
        <f>SUM(K23:K24)</f>
        <v>4001193.1</v>
      </c>
    </row>
    <row r="25" spans="1:12" s="310" customFormat="1" ht="22.5" customHeight="1">
      <c r="A25" s="299" t="s">
        <v>2</v>
      </c>
      <c r="B25" s="261">
        <v>533000</v>
      </c>
      <c r="C25" s="281">
        <v>1214119.73</v>
      </c>
      <c r="D25" s="318">
        <v>0</v>
      </c>
      <c r="E25" s="305">
        <v>0</v>
      </c>
      <c r="F25" s="306">
        <v>0</v>
      </c>
      <c r="G25" s="292">
        <v>0</v>
      </c>
      <c r="H25" s="293">
        <v>0</v>
      </c>
      <c r="I25" s="319">
        <f>'ใบผ่านรายการ  2'!E15</f>
        <v>34591.76</v>
      </c>
      <c r="J25" s="308">
        <v>0</v>
      </c>
      <c r="K25" s="288">
        <f t="shared" si="0"/>
        <v>1248711.49</v>
      </c>
      <c r="L25" s="320">
        <v>0</v>
      </c>
    </row>
    <row r="26" spans="1:13" s="317" customFormat="1" ht="22.5" customHeight="1">
      <c r="A26" s="321" t="s">
        <v>207</v>
      </c>
      <c r="B26" s="322">
        <v>533000</v>
      </c>
      <c r="C26" s="313">
        <v>0</v>
      </c>
      <c r="D26" s="314">
        <v>0</v>
      </c>
      <c r="E26" s="314">
        <v>0</v>
      </c>
      <c r="F26" s="314">
        <v>0</v>
      </c>
      <c r="G26" s="315">
        <v>0</v>
      </c>
      <c r="H26" s="315">
        <v>0</v>
      </c>
      <c r="I26" s="315">
        <v>0</v>
      </c>
      <c r="J26" s="314">
        <v>0</v>
      </c>
      <c r="K26" s="313">
        <f t="shared" si="0"/>
        <v>0</v>
      </c>
      <c r="L26" s="314">
        <v>0</v>
      </c>
      <c r="M26" s="316">
        <f>SUM(K25:K26)</f>
        <v>1248711.49</v>
      </c>
    </row>
    <row r="27" spans="1:12" s="310" customFormat="1" ht="22.5" customHeight="1">
      <c r="A27" s="299" t="s">
        <v>3</v>
      </c>
      <c r="B27" s="261">
        <v>534000</v>
      </c>
      <c r="C27" s="281">
        <v>327751.01</v>
      </c>
      <c r="D27" s="318">
        <v>0</v>
      </c>
      <c r="E27" s="305">
        <v>0</v>
      </c>
      <c r="F27" s="306">
        <v>0</v>
      </c>
      <c r="G27" s="292">
        <v>0</v>
      </c>
      <c r="H27" s="293">
        <f>'ใบผ่านรายการ 1 '!H30</f>
        <v>0</v>
      </c>
      <c r="I27" s="319">
        <f>'ใบผ่านรายการ  2'!E16</f>
        <v>51621.51</v>
      </c>
      <c r="J27" s="308">
        <v>0</v>
      </c>
      <c r="K27" s="288">
        <f t="shared" si="0"/>
        <v>379372.52</v>
      </c>
      <c r="L27" s="320">
        <v>0</v>
      </c>
    </row>
    <row r="28" spans="1:12" s="310" customFormat="1" ht="22.5" customHeight="1">
      <c r="A28" s="299" t="s">
        <v>80</v>
      </c>
      <c r="B28" s="261">
        <v>541000</v>
      </c>
      <c r="C28" s="281">
        <v>25050</v>
      </c>
      <c r="D28" s="318">
        <v>0</v>
      </c>
      <c r="E28" s="305">
        <v>0</v>
      </c>
      <c r="F28" s="306">
        <v>0</v>
      </c>
      <c r="G28" s="292">
        <v>0</v>
      </c>
      <c r="H28" s="293">
        <v>0</v>
      </c>
      <c r="I28" s="319">
        <f>'ใบผ่านรายการ  2'!E18</f>
        <v>0</v>
      </c>
      <c r="J28" s="308">
        <v>0</v>
      </c>
      <c r="K28" s="288">
        <f t="shared" si="0"/>
        <v>25050</v>
      </c>
      <c r="L28" s="320">
        <v>0</v>
      </c>
    </row>
    <row r="29" spans="1:12" s="310" customFormat="1" ht="22.5" customHeight="1">
      <c r="A29" s="299" t="s">
        <v>38</v>
      </c>
      <c r="B29" s="261">
        <v>542000</v>
      </c>
      <c r="C29" s="281">
        <v>0</v>
      </c>
      <c r="D29" s="318">
        <v>0</v>
      </c>
      <c r="E29" s="305">
        <v>0</v>
      </c>
      <c r="F29" s="306">
        <v>0</v>
      </c>
      <c r="G29" s="292">
        <v>0</v>
      </c>
      <c r="H29" s="293">
        <v>0</v>
      </c>
      <c r="I29" s="319">
        <f>'ใบผ่านรายการ  2'!E19</f>
        <v>93900</v>
      </c>
      <c r="J29" s="308">
        <v>0</v>
      </c>
      <c r="K29" s="288">
        <f>C29+E29+G29+I29-D29-F29-H29-J29</f>
        <v>93900</v>
      </c>
      <c r="L29" s="320">
        <v>0</v>
      </c>
    </row>
    <row r="30" spans="1:13" s="310" customFormat="1" ht="22.5" customHeight="1">
      <c r="A30" s="326" t="s">
        <v>229</v>
      </c>
      <c r="B30" s="261">
        <v>542000</v>
      </c>
      <c r="C30" s="281">
        <v>0</v>
      </c>
      <c r="D30" s="318">
        <v>0</v>
      </c>
      <c r="E30" s="305">
        <v>0</v>
      </c>
      <c r="F30" s="306"/>
      <c r="G30" s="292">
        <v>0</v>
      </c>
      <c r="H30" s="293"/>
      <c r="I30" s="319">
        <f>'ใบผ่านรายการ  2'!E21</f>
        <v>0</v>
      </c>
      <c r="J30" s="308">
        <v>0</v>
      </c>
      <c r="K30" s="288">
        <f>C30+E30+G30+I30-D30-F30-H30-J30</f>
        <v>0</v>
      </c>
      <c r="L30" s="320">
        <v>0</v>
      </c>
      <c r="M30" s="324">
        <f>SUM(K29:K31)</f>
        <v>93900</v>
      </c>
    </row>
    <row r="31" spans="1:12" s="310" customFormat="1" ht="22.5" customHeight="1">
      <c r="A31" s="326" t="s">
        <v>296</v>
      </c>
      <c r="B31" s="261">
        <v>542000</v>
      </c>
      <c r="C31" s="281">
        <v>0</v>
      </c>
      <c r="D31" s="318">
        <v>0</v>
      </c>
      <c r="E31" s="305"/>
      <c r="F31" s="306"/>
      <c r="G31" s="292">
        <v>0</v>
      </c>
      <c r="H31" s="293"/>
      <c r="I31" s="319">
        <f>'ใบผ่านรายการ  2'!E20</f>
        <v>0</v>
      </c>
      <c r="J31" s="308">
        <v>0</v>
      </c>
      <c r="K31" s="288">
        <f>C31+E31+G31+I31-D31-F31-H31-J31</f>
        <v>0</v>
      </c>
      <c r="L31" s="320">
        <v>0</v>
      </c>
    </row>
    <row r="32" spans="1:12" s="310" customFormat="1" ht="22.5" customHeight="1">
      <c r="A32" s="299" t="s">
        <v>39</v>
      </c>
      <c r="B32" s="261">
        <v>551000</v>
      </c>
      <c r="C32" s="281">
        <v>0</v>
      </c>
      <c r="D32" s="318">
        <v>0</v>
      </c>
      <c r="E32" s="305">
        <v>0</v>
      </c>
      <c r="F32" s="306">
        <v>0</v>
      </c>
      <c r="G32" s="292">
        <v>0</v>
      </c>
      <c r="H32" s="293">
        <v>0</v>
      </c>
      <c r="I32" s="319">
        <f>'ใบผ่านรายการ  2'!E22</f>
        <v>0</v>
      </c>
      <c r="J32" s="308">
        <v>0</v>
      </c>
      <c r="K32" s="288">
        <f t="shared" si="0"/>
        <v>0</v>
      </c>
      <c r="L32" s="320">
        <v>0</v>
      </c>
    </row>
    <row r="33" spans="1:12" s="310" customFormat="1" ht="22.5" customHeight="1">
      <c r="A33" s="299" t="s">
        <v>4</v>
      </c>
      <c r="B33" s="261">
        <v>561000</v>
      </c>
      <c r="C33" s="281">
        <v>751000</v>
      </c>
      <c r="D33" s="318">
        <v>0</v>
      </c>
      <c r="E33" s="305">
        <v>0</v>
      </c>
      <c r="F33" s="291">
        <v>0</v>
      </c>
      <c r="G33" s="292">
        <v>0</v>
      </c>
      <c r="H33" s="293">
        <v>0</v>
      </c>
      <c r="I33" s="319">
        <f>'ใบผ่านรายการ  2'!E17</f>
        <v>246180</v>
      </c>
      <c r="J33" s="308">
        <v>0</v>
      </c>
      <c r="K33" s="288">
        <f>C33+E33+G33+I33-D33-F33-H33-J33</f>
        <v>997180</v>
      </c>
      <c r="L33" s="320">
        <v>0</v>
      </c>
    </row>
    <row r="34" spans="1:12" s="310" customFormat="1" ht="22.5" customHeight="1">
      <c r="A34" s="299" t="s">
        <v>94</v>
      </c>
      <c r="B34" s="261">
        <v>121000</v>
      </c>
      <c r="C34" s="281">
        <v>12048610</v>
      </c>
      <c r="D34" s="318">
        <v>0</v>
      </c>
      <c r="E34" s="305">
        <v>0</v>
      </c>
      <c r="F34" s="306">
        <v>0</v>
      </c>
      <c r="G34" s="292">
        <v>0</v>
      </c>
      <c r="H34" s="293">
        <v>0</v>
      </c>
      <c r="I34" s="319">
        <f>'ใบผ่านรายการ  2'!E31</f>
        <v>0</v>
      </c>
      <c r="J34" s="308">
        <v>0</v>
      </c>
      <c r="K34" s="288">
        <f>C34+E34+G34+I34-D34-F34-H34-J34</f>
        <v>12048610</v>
      </c>
      <c r="L34" s="320">
        <v>0</v>
      </c>
    </row>
    <row r="35" spans="1:12" s="310" customFormat="1" ht="22.5" customHeight="1">
      <c r="A35" s="299" t="s">
        <v>96</v>
      </c>
      <c r="B35" s="261">
        <v>221102</v>
      </c>
      <c r="C35" s="281" t="s">
        <v>384</v>
      </c>
      <c r="D35" s="303">
        <v>1546605</v>
      </c>
      <c r="E35" s="305">
        <v>0</v>
      </c>
      <c r="F35" s="306">
        <v>0</v>
      </c>
      <c r="G35" s="292">
        <v>0</v>
      </c>
      <c r="H35" s="293">
        <v>0</v>
      </c>
      <c r="I35" s="319">
        <v>0</v>
      </c>
      <c r="J35" s="308">
        <v>0</v>
      </c>
      <c r="K35" s="288">
        <v>0</v>
      </c>
      <c r="L35" s="295">
        <f>SUM(D35+F35+H35+J35)-(E35+G35+I35-K35)</f>
        <v>1546605</v>
      </c>
    </row>
    <row r="36" spans="1:12" s="310" customFormat="1" ht="22.5" customHeight="1">
      <c r="A36" s="299" t="s">
        <v>114</v>
      </c>
      <c r="B36" s="261">
        <v>221202</v>
      </c>
      <c r="C36" s="281">
        <v>0</v>
      </c>
      <c r="D36" s="303">
        <v>6262462.1</v>
      </c>
      <c r="E36" s="305">
        <v>0</v>
      </c>
      <c r="F36" s="306">
        <v>0</v>
      </c>
      <c r="G36" s="292">
        <v>0</v>
      </c>
      <c r="H36" s="293">
        <f>'ใบผ่านรายการ 1 '!H15</f>
        <v>0</v>
      </c>
      <c r="I36" s="319">
        <v>0</v>
      </c>
      <c r="J36" s="308">
        <v>0</v>
      </c>
      <c r="K36" s="288">
        <v>0</v>
      </c>
      <c r="L36" s="295">
        <f>SUM(D36+F36+H36+J36)-(E36+G36+I36-K36)</f>
        <v>6262462.1</v>
      </c>
    </row>
    <row r="37" spans="1:12" s="310" customFormat="1" ht="22.5" customHeight="1">
      <c r="A37" s="299" t="s">
        <v>145</v>
      </c>
      <c r="B37" s="261">
        <v>123003</v>
      </c>
      <c r="C37" s="281">
        <v>0</v>
      </c>
      <c r="D37" s="303">
        <v>0</v>
      </c>
      <c r="E37" s="305"/>
      <c r="F37" s="306">
        <v>0</v>
      </c>
      <c r="G37" s="292">
        <v>0</v>
      </c>
      <c r="H37" s="293"/>
      <c r="I37" s="319"/>
      <c r="J37" s="308"/>
      <c r="K37" s="288">
        <f>C37+E37+G37+I37-D37-F37-H37-J37</f>
        <v>0</v>
      </c>
      <c r="L37" s="295"/>
    </row>
    <row r="38" spans="1:16" ht="22.5" customHeight="1">
      <c r="A38" s="299" t="s">
        <v>95</v>
      </c>
      <c r="B38" s="261"/>
      <c r="C38" s="281">
        <v>0</v>
      </c>
      <c r="D38" s="303">
        <v>0</v>
      </c>
      <c r="E38" s="302">
        <v>0</v>
      </c>
      <c r="F38" s="291">
        <v>0</v>
      </c>
      <c r="G38" s="292">
        <v>0</v>
      </c>
      <c r="H38" s="293">
        <v>0</v>
      </c>
      <c r="I38" s="319">
        <v>0</v>
      </c>
      <c r="J38" s="294">
        <v>0</v>
      </c>
      <c r="K38" s="288">
        <v>0</v>
      </c>
      <c r="L38" s="295">
        <f>SUM(D38+F38+H38+J38)-(E38+G38+I38-K38)</f>
        <v>0</v>
      </c>
      <c r="M38" s="266" t="s">
        <v>162</v>
      </c>
      <c r="N38" s="296">
        <f>K12+K14+K15+K17+K19+K21+K23+K25+K27+K33+K28+K29+K32</f>
        <v>29163677.78</v>
      </c>
      <c r="O38" s="266">
        <v>27141104.54</v>
      </c>
      <c r="P38" s="296">
        <f>O38-N38</f>
        <v>-2022573.240000002</v>
      </c>
    </row>
    <row r="39" spans="1:14" ht="22.5" customHeight="1">
      <c r="A39" s="299" t="s">
        <v>81</v>
      </c>
      <c r="B39" s="261">
        <v>211000</v>
      </c>
      <c r="C39" s="281">
        <v>0</v>
      </c>
      <c r="D39" s="303">
        <v>1050000</v>
      </c>
      <c r="E39" s="302">
        <v>0</v>
      </c>
      <c r="F39" s="291">
        <v>0</v>
      </c>
      <c r="G39" s="292">
        <v>0</v>
      </c>
      <c r="H39" s="293">
        <v>0</v>
      </c>
      <c r="I39" s="319">
        <f>'ใบผ่านรายการ  2'!E28</f>
        <v>0</v>
      </c>
      <c r="J39" s="294">
        <v>0</v>
      </c>
      <c r="K39" s="288">
        <v>0</v>
      </c>
      <c r="L39" s="295">
        <f>SUM(D39+F39+H39+J39)-(E39+G39+I39-K39)</f>
        <v>1050000</v>
      </c>
      <c r="M39" s="266" t="s">
        <v>163</v>
      </c>
      <c r="N39" s="296" t="e">
        <f>#REF!+K16+K18+K20+K22+K24+K26+K30+K31</f>
        <v>#REF!</v>
      </c>
    </row>
    <row r="40" spans="1:14" ht="22.5" customHeight="1">
      <c r="A40" s="327" t="s">
        <v>305</v>
      </c>
      <c r="B40" s="328">
        <v>211000</v>
      </c>
      <c r="C40" s="281"/>
      <c r="D40" s="303">
        <v>0</v>
      </c>
      <c r="E40" s="329"/>
      <c r="F40" s="330"/>
      <c r="G40" s="292">
        <v>0</v>
      </c>
      <c r="H40" s="331"/>
      <c r="I40" s="332">
        <f>'ใบผ่านรายการ  2'!E27</f>
        <v>0</v>
      </c>
      <c r="J40" s="333"/>
      <c r="K40" s="334"/>
      <c r="L40" s="295">
        <f>SUM(D40+F40+H40+J40)-(E40+G40+I40-K40)</f>
        <v>0</v>
      </c>
      <c r="M40" s="266"/>
      <c r="N40" s="296"/>
    </row>
    <row r="41" spans="1:14" ht="22.5" customHeight="1">
      <c r="A41" s="327" t="s">
        <v>306</v>
      </c>
      <c r="B41" s="335">
        <v>211000</v>
      </c>
      <c r="C41" s="281">
        <v>0</v>
      </c>
      <c r="D41" s="336">
        <v>0</v>
      </c>
      <c r="E41" s="329">
        <v>0</v>
      </c>
      <c r="F41" s="330">
        <v>0</v>
      </c>
      <c r="G41" s="292">
        <v>0</v>
      </c>
      <c r="H41" s="331">
        <v>0</v>
      </c>
      <c r="I41" s="337">
        <f>'ใบผ่านรายการ  2'!E29</f>
        <v>0</v>
      </c>
      <c r="J41" s="333">
        <v>0</v>
      </c>
      <c r="K41" s="338"/>
      <c r="L41" s="339">
        <f>D41+F41+H41+J41-C41-E41-G41-I41</f>
        <v>0</v>
      </c>
      <c r="M41" s="340">
        <f>SUM(L39:L41)</f>
        <v>1050000</v>
      </c>
      <c r="N41" s="266"/>
    </row>
    <row r="42" spans="1:14" ht="22.5" customHeight="1">
      <c r="A42" s="299" t="s">
        <v>7</v>
      </c>
      <c r="B42" s="341">
        <v>310000</v>
      </c>
      <c r="C42" s="281">
        <v>0</v>
      </c>
      <c r="D42" s="281">
        <v>29916878.82</v>
      </c>
      <c r="E42" s="302">
        <v>0</v>
      </c>
      <c r="F42" s="291">
        <v>0</v>
      </c>
      <c r="G42" s="292">
        <v>0</v>
      </c>
      <c r="H42" s="293">
        <f>'ใบผ่านรายการ 1 '!H33</f>
        <v>0</v>
      </c>
      <c r="I42" s="319">
        <f>'ใบผ่านรายการ  2'!E30</f>
        <v>0</v>
      </c>
      <c r="J42" s="294">
        <v>0</v>
      </c>
      <c r="K42" s="342">
        <v>0</v>
      </c>
      <c r="L42" s="295">
        <f>D42+F42+H42+J42-C42-E42-G42-I42-K42</f>
        <v>29916878.82</v>
      </c>
      <c r="M42" s="266"/>
      <c r="N42" s="296" t="e">
        <f>SUM(N38:N39)</f>
        <v>#REF!</v>
      </c>
    </row>
    <row r="43" spans="1:14" ht="22.5" customHeight="1">
      <c r="A43" s="299" t="s">
        <v>40</v>
      </c>
      <c r="B43" s="261">
        <v>320000</v>
      </c>
      <c r="C43" s="281">
        <v>0</v>
      </c>
      <c r="D43" s="303">
        <v>11479156.49</v>
      </c>
      <c r="E43" s="302">
        <v>0</v>
      </c>
      <c r="F43" s="291">
        <v>0</v>
      </c>
      <c r="G43" s="292">
        <v>0</v>
      </c>
      <c r="H43" s="293">
        <v>0</v>
      </c>
      <c r="I43" s="319">
        <v>0</v>
      </c>
      <c r="J43" s="294">
        <v>0</v>
      </c>
      <c r="K43" s="288">
        <v>0</v>
      </c>
      <c r="L43" s="295">
        <f>SUM(D43+F43+H43+K43)-(E43+G43+I43)</f>
        <v>11479156.49</v>
      </c>
      <c r="M43" s="266"/>
      <c r="N43" s="266"/>
    </row>
    <row r="44" spans="1:14" ht="22.5" customHeight="1">
      <c r="A44" s="327" t="s">
        <v>350</v>
      </c>
      <c r="B44" s="343">
        <v>113100</v>
      </c>
      <c r="C44" s="344">
        <v>34000</v>
      </c>
      <c r="D44" s="345">
        <v>0</v>
      </c>
      <c r="E44" s="329">
        <v>0</v>
      </c>
      <c r="F44" s="330">
        <f>ใบผ่านทั่วไป!G9</f>
        <v>499900</v>
      </c>
      <c r="G44" s="292">
        <v>0</v>
      </c>
      <c r="H44" s="331">
        <f>'ใบผ่านรายการ 1 '!H31</f>
        <v>0</v>
      </c>
      <c r="I44" s="337">
        <f>'ใบผ่านรายการ  2'!E24</f>
        <v>473600</v>
      </c>
      <c r="J44" s="333">
        <v>0</v>
      </c>
      <c r="K44" s="346">
        <f>C44+E44+G44+I44-D44-F44-H44-J44</f>
        <v>7700</v>
      </c>
      <c r="L44" s="339">
        <v>0</v>
      </c>
      <c r="M44" s="266"/>
      <c r="N44" s="266"/>
    </row>
    <row r="45" spans="1:14" ht="22.5" customHeight="1">
      <c r="A45" s="299" t="s">
        <v>36</v>
      </c>
      <c r="B45" s="261">
        <v>113700</v>
      </c>
      <c r="C45" s="303">
        <v>0</v>
      </c>
      <c r="D45" s="303">
        <v>0</v>
      </c>
      <c r="E45" s="302">
        <v>0</v>
      </c>
      <c r="F45" s="291">
        <v>0</v>
      </c>
      <c r="G45" s="292">
        <v>0</v>
      </c>
      <c r="H45" s="293">
        <v>0</v>
      </c>
      <c r="I45" s="304">
        <f>'ใบผ่านรายการ  2'!E25</f>
        <v>0</v>
      </c>
      <c r="J45" s="294">
        <v>0</v>
      </c>
      <c r="K45" s="288">
        <f>C45-D45+E45-F45+G45-H45+I45-J45</f>
        <v>0</v>
      </c>
      <c r="L45" s="295">
        <v>0</v>
      </c>
      <c r="M45" s="266"/>
      <c r="N45" s="266"/>
    </row>
    <row r="46" spans="1:14" ht="22.5" customHeight="1">
      <c r="A46" s="299" t="s">
        <v>321</v>
      </c>
      <c r="B46" s="261">
        <v>113800</v>
      </c>
      <c r="C46" s="281">
        <v>0</v>
      </c>
      <c r="D46" s="303">
        <v>0</v>
      </c>
      <c r="E46" s="302">
        <v>0</v>
      </c>
      <c r="F46" s="291">
        <v>0</v>
      </c>
      <c r="G46" s="292">
        <v>0</v>
      </c>
      <c r="H46" s="293">
        <v>0</v>
      </c>
      <c r="I46" s="304">
        <f>'ใบผ่านรายการ  2'!E26</f>
        <v>0</v>
      </c>
      <c r="J46" s="294">
        <v>0</v>
      </c>
      <c r="K46" s="288">
        <f>C46-D46+E46-F46+G46-H46+I46-J46</f>
        <v>0</v>
      </c>
      <c r="L46" s="295">
        <v>0</v>
      </c>
      <c r="M46" s="266"/>
      <c r="N46" s="266"/>
    </row>
    <row r="47" spans="1:14" ht="22.5" customHeight="1">
      <c r="A47" s="299" t="s">
        <v>227</v>
      </c>
      <c r="B47" s="261">
        <v>113600</v>
      </c>
      <c r="C47" s="281">
        <v>0</v>
      </c>
      <c r="D47" s="303"/>
      <c r="E47" s="302">
        <v>0</v>
      </c>
      <c r="F47" s="291">
        <v>0</v>
      </c>
      <c r="G47" s="292">
        <v>0</v>
      </c>
      <c r="H47" s="293"/>
      <c r="I47" s="304"/>
      <c r="J47" s="294"/>
      <c r="K47" s="288">
        <v>0</v>
      </c>
      <c r="L47" s="295"/>
      <c r="M47" s="266"/>
      <c r="N47" s="266"/>
    </row>
    <row r="48" spans="1:14" ht="22.5" customHeight="1">
      <c r="A48" s="299" t="s">
        <v>300</v>
      </c>
      <c r="B48" s="261">
        <v>113600</v>
      </c>
      <c r="C48" s="281">
        <v>0</v>
      </c>
      <c r="D48" s="303"/>
      <c r="E48" s="302">
        <v>0</v>
      </c>
      <c r="F48" s="291"/>
      <c r="G48" s="292">
        <v>0</v>
      </c>
      <c r="H48" s="293">
        <v>0</v>
      </c>
      <c r="I48" s="304"/>
      <c r="J48" s="294"/>
      <c r="K48" s="288">
        <f>C48+E48+G48+I48-D48-F48-H48-J48</f>
        <v>0</v>
      </c>
      <c r="L48" s="295"/>
      <c r="M48" s="266"/>
      <c r="N48" s="266"/>
    </row>
    <row r="49" spans="1:14" ht="22.5" customHeight="1">
      <c r="A49" s="299" t="s">
        <v>145</v>
      </c>
      <c r="B49" s="261">
        <v>112300</v>
      </c>
      <c r="C49" s="281">
        <v>0</v>
      </c>
      <c r="D49" s="303"/>
      <c r="E49" s="302">
        <v>0</v>
      </c>
      <c r="F49" s="291"/>
      <c r="G49" s="292">
        <v>0</v>
      </c>
      <c r="H49" s="293">
        <v>0</v>
      </c>
      <c r="I49" s="304"/>
      <c r="J49" s="294"/>
      <c r="K49" s="288">
        <f>C49+E49+G49+I49-D49-F49-H49-J49</f>
        <v>0</v>
      </c>
      <c r="L49" s="295"/>
      <c r="M49" s="266"/>
      <c r="N49" s="266"/>
    </row>
    <row r="50" spans="1:14" ht="22.5" customHeight="1">
      <c r="A50" s="299" t="s">
        <v>41</v>
      </c>
      <c r="B50" s="261">
        <v>400000</v>
      </c>
      <c r="C50" s="281">
        <v>0</v>
      </c>
      <c r="D50" s="303">
        <v>35123287.1</v>
      </c>
      <c r="E50" s="302">
        <v>0</v>
      </c>
      <c r="F50" s="291">
        <v>0</v>
      </c>
      <c r="G50" s="292">
        <v>0</v>
      </c>
      <c r="H50" s="293">
        <f>'ใบผ่านรายการ 1 '!H13</f>
        <v>1849855.72</v>
      </c>
      <c r="I50" s="304">
        <f>'ใบผ่านรายการ  2'!E48</f>
        <v>0</v>
      </c>
      <c r="J50" s="294">
        <f>'ใบผ่านรายการ  2'!F48</f>
        <v>0</v>
      </c>
      <c r="K50" s="288">
        <v>0</v>
      </c>
      <c r="L50" s="295">
        <f>D50+F50+H50+J50-C50-E50-G50-I50</f>
        <v>36973142.82</v>
      </c>
      <c r="M50" s="266"/>
      <c r="N50" s="266"/>
    </row>
    <row r="51" spans="1:12" s="351" customFormat="1" ht="22.5" customHeight="1">
      <c r="A51" s="299" t="s">
        <v>42</v>
      </c>
      <c r="B51" s="261">
        <v>215000</v>
      </c>
      <c r="C51" s="347">
        <v>0</v>
      </c>
      <c r="D51" s="348">
        <v>273906.99</v>
      </c>
      <c r="E51" s="302">
        <v>0</v>
      </c>
      <c r="F51" s="291">
        <v>0</v>
      </c>
      <c r="G51" s="292">
        <v>0</v>
      </c>
      <c r="H51" s="293">
        <f>'ใบผ่านรายการ 1 '!I20</f>
        <v>3975</v>
      </c>
      <c r="I51" s="349">
        <f>'ใบผ่านรายการ  2'!G46</f>
        <v>57307.81</v>
      </c>
      <c r="J51" s="350">
        <f>'ใบผ่านรายการ  2'!H46</f>
        <v>23797.239999999998</v>
      </c>
      <c r="K51" s="288">
        <v>0</v>
      </c>
      <c r="L51" s="295">
        <f>D51+F51+H51+J51-C51-E51-G51-I51</f>
        <v>244371.41999999998</v>
      </c>
    </row>
    <row r="52" spans="1:12" s="351" customFormat="1" ht="22.5" customHeight="1">
      <c r="A52" s="327" t="s">
        <v>303</v>
      </c>
      <c r="B52" s="352">
        <v>140300</v>
      </c>
      <c r="C52" s="353">
        <v>0</v>
      </c>
      <c r="D52" s="348">
        <v>0</v>
      </c>
      <c r="E52" s="302">
        <v>0</v>
      </c>
      <c r="F52" s="291">
        <v>0</v>
      </c>
      <c r="G52" s="292">
        <v>0</v>
      </c>
      <c r="H52" s="293">
        <v>0</v>
      </c>
      <c r="I52" s="349">
        <v>0</v>
      </c>
      <c r="J52" s="350">
        <v>0</v>
      </c>
      <c r="K52" s="354">
        <f>ใบผ่านทั่วไป!F175</f>
        <v>87572</v>
      </c>
      <c r="L52" s="295">
        <v>0</v>
      </c>
    </row>
    <row r="53" spans="1:12" s="351" customFormat="1" ht="22.5" customHeight="1">
      <c r="A53" s="355" t="s">
        <v>304</v>
      </c>
      <c r="B53" s="356">
        <v>240100</v>
      </c>
      <c r="C53" s="357"/>
      <c r="D53" s="358">
        <v>0</v>
      </c>
      <c r="E53" s="359">
        <v>0</v>
      </c>
      <c r="F53" s="291">
        <v>0</v>
      </c>
      <c r="G53" s="292">
        <v>0</v>
      </c>
      <c r="H53" s="360"/>
      <c r="I53" s="361"/>
      <c r="J53" s="362"/>
      <c r="K53" s="363"/>
      <c r="L53" s="364">
        <f>ใบผ่านทั่วไป!G177</f>
        <v>87572</v>
      </c>
    </row>
    <row r="54" spans="1:14" ht="22.5" customHeight="1" thickBot="1">
      <c r="A54" s="365"/>
      <c r="B54" s="91"/>
      <c r="C54" s="366">
        <f>SUM(C3:C53)</f>
        <v>85652296.50000001</v>
      </c>
      <c r="D54" s="366">
        <f>SUM(D3:D53)</f>
        <v>85652296.5</v>
      </c>
      <c r="E54" s="366">
        <f aca="true" t="shared" si="1" ref="E54:L54">SUM(E3:E53)</f>
        <v>499900</v>
      </c>
      <c r="F54" s="366">
        <f t="shared" si="1"/>
        <v>499900</v>
      </c>
      <c r="G54" s="366">
        <f t="shared" si="1"/>
        <v>1868105.72</v>
      </c>
      <c r="H54" s="366">
        <f t="shared" si="1"/>
        <v>1868105.72</v>
      </c>
      <c r="I54" s="366">
        <f t="shared" si="1"/>
        <v>2956726.19</v>
      </c>
      <c r="J54" s="366">
        <f t="shared" si="1"/>
        <v>2956726.1900000004</v>
      </c>
      <c r="K54" s="366">
        <f t="shared" si="1"/>
        <v>87560188.64999998</v>
      </c>
      <c r="L54" s="366">
        <f t="shared" si="1"/>
        <v>87560188.65</v>
      </c>
      <c r="M54" s="266"/>
      <c r="N54" s="266"/>
    </row>
    <row r="55" spans="1:12" ht="22.5" customHeight="1" thickTop="1">
      <c r="A55" s="367"/>
      <c r="B55" s="368"/>
      <c r="C55" s="692">
        <f>C54-D54</f>
        <v>0</v>
      </c>
      <c r="D55" s="684"/>
      <c r="E55" s="685">
        <f>E54-F54</f>
        <v>0</v>
      </c>
      <c r="F55" s="686"/>
      <c r="G55" s="686">
        <f>G54-H54</f>
        <v>0</v>
      </c>
      <c r="H55" s="686"/>
      <c r="I55" s="686">
        <f>I54-J54</f>
        <v>0</v>
      </c>
      <c r="J55" s="686"/>
      <c r="K55" s="686">
        <f>K54-L54</f>
        <v>0</v>
      </c>
      <c r="L55" s="686"/>
    </row>
    <row r="56" spans="1:12" ht="22.5" customHeight="1">
      <c r="A56" s="379"/>
      <c r="B56" s="379"/>
      <c r="C56" s="693"/>
      <c r="D56" s="687"/>
      <c r="E56" s="688"/>
      <c r="F56" s="686"/>
      <c r="G56" s="686"/>
      <c r="H56" s="686"/>
      <c r="I56" s="686"/>
      <c r="J56" s="686"/>
      <c r="K56" s="686"/>
      <c r="L56" s="686"/>
    </row>
    <row r="57" spans="2:12" ht="21">
      <c r="B57" s="755"/>
      <c r="C57" s="755"/>
      <c r="D57" s="689"/>
      <c r="E57" s="686"/>
      <c r="F57" s="686"/>
      <c r="G57" s="686"/>
      <c r="H57" s="686"/>
      <c r="I57" s="686"/>
      <c r="J57" s="686"/>
      <c r="K57" s="686"/>
      <c r="L57" s="686"/>
    </row>
    <row r="58" spans="2:12" ht="21">
      <c r="B58" s="694"/>
      <c r="C58" s="695"/>
      <c r="D58" s="689"/>
      <c r="E58" s="686"/>
      <c r="F58" s="686"/>
      <c r="G58" s="686"/>
      <c r="H58" s="686"/>
      <c r="I58" s="686"/>
      <c r="J58" s="686"/>
      <c r="K58" s="686"/>
      <c r="L58" s="686"/>
    </row>
    <row r="59" spans="1:12" ht="21">
      <c r="A59" s="352"/>
      <c r="B59" s="754"/>
      <c r="C59" s="754"/>
      <c r="D59" s="690"/>
      <c r="E59" s="691"/>
      <c r="F59" s="686"/>
      <c r="G59" s="686"/>
      <c r="H59" s="686"/>
      <c r="I59" s="686"/>
      <c r="J59" s="686"/>
      <c r="K59" s="686"/>
      <c r="L59" s="686"/>
    </row>
    <row r="60" spans="2:12" ht="21">
      <c r="B60" s="754"/>
      <c r="C60" s="754"/>
      <c r="D60" s="689"/>
      <c r="E60" s="686"/>
      <c r="F60" s="686"/>
      <c r="G60" s="686"/>
      <c r="H60" s="686"/>
      <c r="I60" s="686"/>
      <c r="J60" s="686"/>
      <c r="K60" s="686"/>
      <c r="L60" s="686"/>
    </row>
  </sheetData>
  <sheetProtection/>
  <mergeCells count="4">
    <mergeCell ref="B59:C59"/>
    <mergeCell ref="B60:C60"/>
    <mergeCell ref="B57:C57"/>
    <mergeCell ref="A1:L1"/>
  </mergeCells>
  <printOptions horizontalCentered="1"/>
  <pageMargins left="0.15748031496062992" right="0" top="0.1968503937007874" bottom="0.1968503937007874" header="0.2362204724409449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4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21.75"/>
  <cols>
    <col min="1" max="1" width="44.00390625" style="1" customWidth="1"/>
    <col min="2" max="2" width="15.421875" style="1" customWidth="1"/>
    <col min="3" max="4" width="27.8515625" style="1" customWidth="1"/>
    <col min="5" max="5" width="20.28125" style="1" customWidth="1"/>
    <col min="6" max="6" width="25.28125" style="1" customWidth="1"/>
    <col min="7" max="7" width="20.28125" style="1" customWidth="1"/>
    <col min="8" max="16384" width="9.140625" style="1" customWidth="1"/>
  </cols>
  <sheetData>
    <row r="1" spans="1:4" ht="19.5" customHeight="1">
      <c r="A1" s="702" t="s">
        <v>37</v>
      </c>
      <c r="B1" s="702"/>
      <c r="C1" s="702"/>
      <c r="D1" s="702"/>
    </row>
    <row r="2" spans="1:4" ht="19.5" customHeight="1">
      <c r="A2" s="702" t="s">
        <v>77</v>
      </c>
      <c r="B2" s="702"/>
      <c r="C2" s="702"/>
      <c r="D2" s="702"/>
    </row>
    <row r="3" spans="1:4" ht="19.5" customHeight="1">
      <c r="A3" s="759" t="s">
        <v>725</v>
      </c>
      <c r="B3" s="759"/>
      <c r="C3" s="759"/>
      <c r="D3" s="759"/>
    </row>
    <row r="4" spans="1:4" ht="18" customHeight="1">
      <c r="A4" s="389" t="s">
        <v>8</v>
      </c>
      <c r="B4" s="389" t="s">
        <v>47</v>
      </c>
      <c r="C4" s="389" t="s">
        <v>9</v>
      </c>
      <c r="D4" s="389" t="s">
        <v>10</v>
      </c>
    </row>
    <row r="5" spans="1:4" ht="18" customHeight="1">
      <c r="A5" s="390" t="s">
        <v>78</v>
      </c>
      <c r="B5" s="391">
        <v>110100</v>
      </c>
      <c r="C5" s="234">
        <f>กระดาษทำการ!K3</f>
        <v>0</v>
      </c>
      <c r="D5" s="392"/>
    </row>
    <row r="6" spans="1:7" ht="18" customHeight="1">
      <c r="A6" s="390" t="s">
        <v>25</v>
      </c>
      <c r="B6" s="391">
        <f>กระดาษทำการ!B4</f>
        <v>111203</v>
      </c>
      <c r="C6" s="393">
        <f>กระดาษทำการ!K4</f>
        <v>0</v>
      </c>
      <c r="D6" s="234"/>
      <c r="E6" s="184"/>
      <c r="F6" s="394" t="s">
        <v>7</v>
      </c>
      <c r="G6" s="184">
        <f>D29-C11</f>
        <v>24264496.5</v>
      </c>
    </row>
    <row r="7" spans="1:7" ht="18" customHeight="1">
      <c r="A7" s="390" t="s">
        <v>102</v>
      </c>
      <c r="B7" s="395" t="str">
        <f>กระดาษทำการ!B5</f>
        <v>111201</v>
      </c>
      <c r="C7" s="396">
        <f>กระดาษทำการ!K5</f>
        <v>39008864.88999999</v>
      </c>
      <c r="D7" s="234"/>
      <c r="E7" s="184"/>
      <c r="F7" s="394" t="s">
        <v>40</v>
      </c>
      <c r="G7" s="184">
        <f>D30</f>
        <v>11479156.49</v>
      </c>
    </row>
    <row r="8" spans="1:7" ht="18" customHeight="1">
      <c r="A8" s="394" t="s">
        <v>130</v>
      </c>
      <c r="B8" s="397">
        <f>กระดาษทำการ!B6</f>
        <v>111202</v>
      </c>
      <c r="C8" s="396">
        <f>กระดาษทำการ!K6</f>
        <v>968294.87</v>
      </c>
      <c r="D8" s="234"/>
      <c r="E8" s="184">
        <f>SUM(C6:C10)</f>
        <v>40405727.3</v>
      </c>
      <c r="F8" s="394" t="s">
        <v>141</v>
      </c>
      <c r="G8" s="184">
        <f>D26</f>
        <v>1050000</v>
      </c>
    </row>
    <row r="9" spans="1:7" ht="18" customHeight="1">
      <c r="A9" s="394" t="s">
        <v>133</v>
      </c>
      <c r="B9" s="397" t="str">
        <f>กระดาษทำการ!B7</f>
        <v>111201-1</v>
      </c>
      <c r="C9" s="396">
        <f>กระดาษทำการ!K7</f>
        <v>77.27</v>
      </c>
      <c r="D9" s="234"/>
      <c r="F9" s="299" t="s">
        <v>95</v>
      </c>
      <c r="G9" s="184">
        <f>D28</f>
        <v>0</v>
      </c>
    </row>
    <row r="10" spans="1:7" ht="18" customHeight="1">
      <c r="A10" s="394" t="s">
        <v>121</v>
      </c>
      <c r="B10" s="397" t="str">
        <f>กระดาษทำการ!B8</f>
        <v>111201-2</v>
      </c>
      <c r="C10" s="396">
        <f>กระดาษทำการ!K8</f>
        <v>428490.27</v>
      </c>
      <c r="D10" s="234"/>
      <c r="F10" s="394" t="s">
        <v>42</v>
      </c>
      <c r="G10" s="184">
        <f>D40</f>
        <v>244371.41999999998</v>
      </c>
    </row>
    <row r="11" spans="1:7" ht="18" customHeight="1">
      <c r="A11" s="394" t="s">
        <v>43</v>
      </c>
      <c r="B11" s="397">
        <v>112002</v>
      </c>
      <c r="C11" s="396">
        <f>กระดาษทำการ!K9</f>
        <v>5652382.32</v>
      </c>
      <c r="D11" s="234"/>
      <c r="F11" s="1" t="s">
        <v>161</v>
      </c>
      <c r="G11" s="184">
        <f>D39-E18</f>
        <v>7614995.789999999</v>
      </c>
    </row>
    <row r="12" spans="1:7" ht="18" customHeight="1">
      <c r="A12" s="394" t="s">
        <v>243</v>
      </c>
      <c r="B12" s="397">
        <v>113200</v>
      </c>
      <c r="C12" s="396">
        <f>กระดาษทำการ!K10</f>
        <v>50</v>
      </c>
      <c r="D12" s="234"/>
      <c r="E12" s="184"/>
      <c r="G12" s="184"/>
    </row>
    <row r="13" spans="1:7" ht="18" customHeight="1">
      <c r="A13" s="390" t="s">
        <v>45</v>
      </c>
      <c r="B13" s="391">
        <v>511000</v>
      </c>
      <c r="C13" s="398">
        <f>กระดาษทำการ!K12</f>
        <v>6783454.17</v>
      </c>
      <c r="D13" s="234"/>
      <c r="F13" s="1" t="s">
        <v>70</v>
      </c>
      <c r="G13" s="184">
        <f>SUM(G6:G11)</f>
        <v>44653020.2</v>
      </c>
    </row>
    <row r="14" spans="1:7" ht="18" customHeight="1">
      <c r="A14" s="390" t="s">
        <v>491</v>
      </c>
      <c r="B14" s="391">
        <v>511000</v>
      </c>
      <c r="C14" s="398">
        <f>กระดาษทำการ!K13</f>
        <v>71669.25</v>
      </c>
      <c r="D14" s="234"/>
      <c r="E14" s="184">
        <f>C13+C14</f>
        <v>6855123.42</v>
      </c>
      <c r="G14" s="184"/>
    </row>
    <row r="15" spans="1:7" ht="18" customHeight="1">
      <c r="A15" s="394" t="s">
        <v>181</v>
      </c>
      <c r="B15" s="397">
        <v>521000</v>
      </c>
      <c r="C15" s="398">
        <f>กระดาษทำการ!K14</f>
        <v>1968480</v>
      </c>
      <c r="D15" s="234"/>
      <c r="E15" s="184">
        <f>SUM(C15:C16)</f>
        <v>15333274</v>
      </c>
      <c r="G15" s="184"/>
    </row>
    <row r="16" spans="1:5" ht="18" customHeight="1">
      <c r="A16" s="399" t="s">
        <v>182</v>
      </c>
      <c r="B16" s="400">
        <v>522000</v>
      </c>
      <c r="C16" s="401">
        <f>กระดาษทำการ!K15+กระดาษทำการ!K16+กระดาษทำการ!K17+กระดาษทำการ!K18+กระดาษทำการ!K19+กระดาษทำการ!K20</f>
        <v>13364794</v>
      </c>
      <c r="D16" s="402"/>
      <c r="E16" s="184"/>
    </row>
    <row r="17" spans="1:4" ht="18" customHeight="1">
      <c r="A17" s="394" t="s">
        <v>0</v>
      </c>
      <c r="B17" s="397">
        <v>531000</v>
      </c>
      <c r="C17" s="398">
        <f>กระดาษทำการ!K21+กระดาษทำการ!K22</f>
        <v>424342.5</v>
      </c>
      <c r="D17" s="234"/>
    </row>
    <row r="18" spans="1:5" ht="18" customHeight="1">
      <c r="A18" s="394" t="s">
        <v>1</v>
      </c>
      <c r="B18" s="397">
        <v>532000</v>
      </c>
      <c r="C18" s="398">
        <f>กระดาษทำการ!K23+กระดาษทำการ!K24</f>
        <v>4001193.1</v>
      </c>
      <c r="D18" s="234"/>
      <c r="E18" s="184">
        <f>SUM(C13:C24)</f>
        <v>29358147.03</v>
      </c>
    </row>
    <row r="19" spans="1:4" ht="18" customHeight="1">
      <c r="A19" s="394" t="s">
        <v>2</v>
      </c>
      <c r="B19" s="397">
        <v>533000</v>
      </c>
      <c r="C19" s="398">
        <f>กระดาษทำการ!K25+กระดาษทำการ!K26</f>
        <v>1248711.49</v>
      </c>
      <c r="D19" s="234"/>
    </row>
    <row r="20" spans="1:4" ht="18" customHeight="1">
      <c r="A20" s="394" t="s">
        <v>3</v>
      </c>
      <c r="B20" s="397">
        <v>534000</v>
      </c>
      <c r="C20" s="398">
        <f>กระดาษทำการ!K27</f>
        <v>379372.52</v>
      </c>
      <c r="D20" s="234"/>
    </row>
    <row r="21" spans="1:4" ht="18" customHeight="1">
      <c r="A21" s="394" t="s">
        <v>4</v>
      </c>
      <c r="B21" s="397">
        <v>561000</v>
      </c>
      <c r="C21" s="398">
        <f>กระดาษทำการ!K33</f>
        <v>997180</v>
      </c>
      <c r="D21" s="234"/>
    </row>
    <row r="22" spans="1:4" ht="18" customHeight="1">
      <c r="A22" s="394" t="s">
        <v>80</v>
      </c>
      <c r="B22" s="397">
        <v>541000</v>
      </c>
      <c r="C22" s="398">
        <f>กระดาษทำการ!K28</f>
        <v>25050</v>
      </c>
      <c r="D22" s="234"/>
    </row>
    <row r="23" spans="1:4" ht="18" customHeight="1">
      <c r="A23" s="394" t="s">
        <v>160</v>
      </c>
      <c r="B23" s="397">
        <v>542000</v>
      </c>
      <c r="C23" s="398">
        <f>กระดาษทำการ!K30+กระดาษทำการ!K29+กระดาษทำการ!K31</f>
        <v>93900</v>
      </c>
      <c r="D23" s="234"/>
    </row>
    <row r="24" spans="1:4" ht="18" customHeight="1" hidden="1">
      <c r="A24" s="394" t="s">
        <v>39</v>
      </c>
      <c r="B24" s="397">
        <v>551000</v>
      </c>
      <c r="C24" s="398">
        <f>กระดาษทำการ!K32</f>
        <v>0</v>
      </c>
      <c r="D24" s="234"/>
    </row>
    <row r="25" spans="1:5" ht="18" customHeight="1">
      <c r="A25" s="394" t="s">
        <v>98</v>
      </c>
      <c r="B25" s="397">
        <v>121000</v>
      </c>
      <c r="C25" s="396">
        <f>กระดาษทำการ!K34</f>
        <v>12048610</v>
      </c>
      <c r="D25" s="234"/>
      <c r="E25" s="184"/>
    </row>
    <row r="26" spans="1:4" ht="18" customHeight="1">
      <c r="A26" s="394" t="s">
        <v>141</v>
      </c>
      <c r="B26" s="397">
        <v>211000</v>
      </c>
      <c r="C26" s="396">
        <v>0</v>
      </c>
      <c r="D26" s="234">
        <f>กระดาษทำการ!M41</f>
        <v>1050000</v>
      </c>
    </row>
    <row r="27" spans="1:7" ht="18" customHeight="1">
      <c r="A27" s="390" t="s">
        <v>599</v>
      </c>
      <c r="B27" s="658">
        <v>210300</v>
      </c>
      <c r="C27" s="396">
        <v>0</v>
      </c>
      <c r="D27" s="234">
        <f>กระดาษทำการ!L11</f>
        <v>0</v>
      </c>
      <c r="E27" s="184"/>
      <c r="G27" s="184"/>
    </row>
    <row r="28" spans="1:4" ht="18" customHeight="1" hidden="1">
      <c r="A28" s="299" t="s">
        <v>95</v>
      </c>
      <c r="B28" s="261">
        <v>604</v>
      </c>
      <c r="C28" s="396"/>
      <c r="D28" s="396">
        <f>กระดาษทำการ!L38</f>
        <v>0</v>
      </c>
    </row>
    <row r="29" spans="1:4" ht="18" customHeight="1">
      <c r="A29" s="394" t="s">
        <v>7</v>
      </c>
      <c r="B29" s="397">
        <v>310000</v>
      </c>
      <c r="C29" s="396"/>
      <c r="D29" s="396">
        <f>กระดาษทำการ!L42</f>
        <v>29916878.82</v>
      </c>
    </row>
    <row r="30" spans="1:4" ht="18" customHeight="1">
      <c r="A30" s="394" t="s">
        <v>40</v>
      </c>
      <c r="B30" s="397">
        <v>320000</v>
      </c>
      <c r="C30" s="396"/>
      <c r="D30" s="234">
        <f>กระดาษทำการ!L43</f>
        <v>11479156.49</v>
      </c>
    </row>
    <row r="31" spans="1:4" ht="18" customHeight="1" hidden="1">
      <c r="A31" s="394" t="s">
        <v>55</v>
      </c>
      <c r="B31" s="403">
        <v>113100</v>
      </c>
      <c r="C31" s="234">
        <v>0</v>
      </c>
      <c r="D31" s="256"/>
    </row>
    <row r="32" spans="1:5" ht="18" customHeight="1" hidden="1">
      <c r="A32" s="394" t="s">
        <v>36</v>
      </c>
      <c r="B32" s="397">
        <v>113700</v>
      </c>
      <c r="C32" s="234">
        <v>0</v>
      </c>
      <c r="D32" s="234"/>
      <c r="E32" s="184">
        <v>0</v>
      </c>
    </row>
    <row r="33" spans="1:4" ht="18" customHeight="1">
      <c r="A33" s="299" t="s">
        <v>349</v>
      </c>
      <c r="B33" s="397">
        <v>113800</v>
      </c>
      <c r="C33" s="396">
        <f>กระดาษทำการ!K44</f>
        <v>7700</v>
      </c>
      <c r="D33" s="396"/>
    </row>
    <row r="34" spans="1:4" ht="18" customHeight="1">
      <c r="A34" s="299" t="s">
        <v>303</v>
      </c>
      <c r="B34" s="397">
        <v>140300</v>
      </c>
      <c r="C34" s="396">
        <f>กระดาษทำการ!K52</f>
        <v>87572</v>
      </c>
      <c r="D34" s="396"/>
    </row>
    <row r="35" spans="1:4" ht="18" customHeight="1">
      <c r="A35" s="299" t="s">
        <v>304</v>
      </c>
      <c r="B35" s="397">
        <v>240100</v>
      </c>
      <c r="C35" s="396"/>
      <c r="D35" s="396">
        <f>กระดาษทำการ!L53</f>
        <v>87572</v>
      </c>
    </row>
    <row r="36" spans="1:5" ht="18" customHeight="1">
      <c r="A36" s="394" t="s">
        <v>97</v>
      </c>
      <c r="B36" s="397">
        <v>220102</v>
      </c>
      <c r="C36" s="396"/>
      <c r="D36" s="396">
        <f>กระดาษทำการ!L35</f>
        <v>1546605</v>
      </c>
      <c r="E36" s="184"/>
    </row>
    <row r="37" spans="1:7" ht="18" customHeight="1">
      <c r="A37" s="394" t="s">
        <v>115</v>
      </c>
      <c r="B37" s="397">
        <v>220103</v>
      </c>
      <c r="C37" s="396"/>
      <c r="D37" s="396">
        <f>กระดาษทำการ!L36</f>
        <v>6262462.1</v>
      </c>
      <c r="E37" s="184"/>
      <c r="G37" s="248"/>
    </row>
    <row r="38" spans="1:7" ht="18" customHeight="1" hidden="1">
      <c r="A38" s="394" t="s">
        <v>145</v>
      </c>
      <c r="B38" s="397">
        <v>123000</v>
      </c>
      <c r="C38" s="396">
        <f>กระดาษทำการ!K49</f>
        <v>0</v>
      </c>
      <c r="D38" s="396"/>
      <c r="G38" s="248"/>
    </row>
    <row r="39" spans="1:7" ht="18" customHeight="1">
      <c r="A39" s="394" t="s">
        <v>41</v>
      </c>
      <c r="B39" s="397">
        <v>400000</v>
      </c>
      <c r="C39" s="396"/>
      <c r="D39" s="234">
        <f>กระดาษทำการ!L50</f>
        <v>36973142.82</v>
      </c>
      <c r="E39" s="184"/>
      <c r="G39" s="184"/>
    </row>
    <row r="40" spans="1:5" ht="18" customHeight="1">
      <c r="A40" s="394" t="s">
        <v>42</v>
      </c>
      <c r="B40" s="397">
        <v>215000</v>
      </c>
      <c r="C40" s="396"/>
      <c r="D40" s="234">
        <f>กระดาษทำการ!L51</f>
        <v>244371.41999999998</v>
      </c>
      <c r="E40" s="184"/>
    </row>
    <row r="41" spans="1:5" ht="18" customHeight="1">
      <c r="A41" s="404"/>
      <c r="B41" s="405"/>
      <c r="C41" s="406">
        <f>SUM(C5:C40)</f>
        <v>87560188.64999998</v>
      </c>
      <c r="D41" s="406">
        <f>SUM(D26:D40)</f>
        <v>87560188.65</v>
      </c>
      <c r="E41" s="184">
        <f>C41-D41</f>
        <v>0</v>
      </c>
    </row>
    <row r="42" spans="1:5" ht="18" customHeight="1">
      <c r="A42" s="11" t="s">
        <v>474</v>
      </c>
      <c r="B42" s="12"/>
      <c r="C42" s="38"/>
      <c r="D42" s="254"/>
      <c r="E42" s="184"/>
    </row>
    <row r="43" spans="1:5" ht="18" customHeight="1">
      <c r="A43" s="11" t="s">
        <v>475</v>
      </c>
      <c r="B43" s="12"/>
      <c r="C43" s="12"/>
      <c r="D43" s="254"/>
      <c r="E43" s="184"/>
    </row>
    <row r="44" spans="1:5" ht="18" customHeight="1">
      <c r="A44" s="11" t="s">
        <v>476</v>
      </c>
      <c r="B44" s="12"/>
      <c r="C44" s="12"/>
      <c r="D44" s="254"/>
      <c r="E44" s="184"/>
    </row>
    <row r="45" spans="1:5" ht="9.75" customHeight="1">
      <c r="A45" s="250"/>
      <c r="B45" s="407"/>
      <c r="C45" s="254"/>
      <c r="D45" s="254"/>
      <c r="E45" s="184"/>
    </row>
    <row r="46" spans="1:4" ht="28.5" customHeight="1">
      <c r="A46" s="758" t="s">
        <v>553</v>
      </c>
      <c r="B46" s="758"/>
      <c r="C46" s="758"/>
      <c r="D46" s="758"/>
    </row>
    <row r="47" spans="1:7" ht="20.25" customHeight="1">
      <c r="A47" s="758" t="s">
        <v>565</v>
      </c>
      <c r="B47" s="758"/>
      <c r="C47" s="758"/>
      <c r="D47" s="758"/>
      <c r="E47" s="520"/>
      <c r="F47" s="520"/>
      <c r="G47" s="520"/>
    </row>
    <row r="48" spans="1:4" ht="20.25" customHeight="1">
      <c r="A48" s="758" t="s">
        <v>566</v>
      </c>
      <c r="B48" s="758"/>
      <c r="C48" s="758"/>
      <c r="D48" s="758"/>
    </row>
    <row r="49" spans="1:4" ht="18" customHeight="1">
      <c r="A49" s="518"/>
      <c r="B49" s="138"/>
      <c r="C49" s="138"/>
      <c r="D49" s="138"/>
    </row>
    <row r="50" spans="1:4" ht="19.5" customHeight="1">
      <c r="A50" s="407"/>
      <c r="B50" s="517"/>
      <c r="C50" s="517"/>
      <c r="D50" s="517"/>
    </row>
    <row r="51" spans="2:4" ht="19.5" customHeight="1">
      <c r="B51" s="519"/>
      <c r="C51" s="139"/>
      <c r="D51" s="250"/>
    </row>
    <row r="52" spans="2:4" ht="19.5" customHeight="1">
      <c r="B52" s="519"/>
      <c r="C52" s="139"/>
      <c r="D52" s="250"/>
    </row>
    <row r="53" spans="2:4" ht="21">
      <c r="B53" s="757"/>
      <c r="C53" s="757"/>
      <c r="D53" s="407"/>
    </row>
    <row r="54" spans="2:3" ht="21">
      <c r="B54" s="757"/>
      <c r="C54" s="757"/>
    </row>
  </sheetData>
  <sheetProtection/>
  <mergeCells count="8">
    <mergeCell ref="B54:C54"/>
    <mergeCell ref="A46:D46"/>
    <mergeCell ref="A47:D47"/>
    <mergeCell ref="A48:D48"/>
    <mergeCell ref="A1:D1"/>
    <mergeCell ref="A2:D2"/>
    <mergeCell ref="A3:D3"/>
    <mergeCell ref="B53:C53"/>
  </mergeCells>
  <printOptions horizontalCentered="1"/>
  <pageMargins left="0.31496062992125984" right="0.2362204724409449" top="0.3937007874015748" bottom="0.1968503937007874" header="0.3937007874015748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3">
      <selection activeCell="J10" sqref="J10"/>
    </sheetView>
  </sheetViews>
  <sheetFormatPr defaultColWidth="10.8515625" defaultRowHeight="21.75"/>
  <cols>
    <col min="1" max="1" width="15.421875" style="11" customWidth="1"/>
    <col min="2" max="2" width="12.00390625" style="12" customWidth="1"/>
    <col min="3" max="3" width="14.00390625" style="12" customWidth="1"/>
    <col min="4" max="4" width="13.8515625" style="12" customWidth="1"/>
    <col min="5" max="7" width="10.8515625" style="11" customWidth="1"/>
    <col min="8" max="8" width="4.8515625" style="11" customWidth="1"/>
    <col min="9" max="9" width="7.8515625" style="11" customWidth="1"/>
    <col min="10" max="10" width="14.00390625" style="11" customWidth="1"/>
    <col min="11" max="11" width="17.421875" style="4" customWidth="1"/>
    <col min="12" max="12" width="22.00390625" style="408" customWidth="1"/>
    <col min="13" max="13" width="32.00390625" style="408" customWidth="1"/>
    <col min="14" max="16384" width="10.8515625" style="408" customWidth="1"/>
  </cols>
  <sheetData>
    <row r="1" spans="1:10" ht="15" customHeight="1">
      <c r="A1" s="799" t="s">
        <v>293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5" customHeight="1">
      <c r="A2" s="803" t="s">
        <v>173</v>
      </c>
      <c r="B2" s="803"/>
      <c r="C2" s="803"/>
      <c r="D2" s="803"/>
      <c r="E2" s="803"/>
      <c r="F2" s="803"/>
      <c r="G2" s="803"/>
      <c r="H2" s="803"/>
      <c r="I2" s="803"/>
      <c r="J2" s="803"/>
    </row>
    <row r="3" spans="1:11" ht="15" customHeight="1">
      <c r="A3" s="804" t="s">
        <v>294</v>
      </c>
      <c r="B3" s="804"/>
      <c r="C3" s="804"/>
      <c r="D3" s="804"/>
      <c r="E3" s="804"/>
      <c r="F3" s="804"/>
      <c r="G3" s="804"/>
      <c r="H3" s="804"/>
      <c r="I3" s="804"/>
      <c r="J3" s="804"/>
      <c r="K3" s="5"/>
    </row>
    <row r="4" spans="1:10" ht="15" customHeight="1" thickBot="1">
      <c r="A4" s="775" t="s">
        <v>698</v>
      </c>
      <c r="B4" s="775"/>
      <c r="C4" s="775"/>
      <c r="D4" s="775"/>
      <c r="E4" s="775"/>
      <c r="F4" s="775"/>
      <c r="G4" s="775"/>
      <c r="H4" s="775"/>
      <c r="I4" s="775"/>
      <c r="J4" s="775"/>
    </row>
    <row r="5" spans="1:10" ht="15" customHeight="1" thickTop="1">
      <c r="A5" s="800" t="s">
        <v>26</v>
      </c>
      <c r="B5" s="801"/>
      <c r="C5" s="801"/>
      <c r="D5" s="802"/>
      <c r="E5" s="770" t="s">
        <v>52</v>
      </c>
      <c r="F5" s="771"/>
      <c r="G5" s="771"/>
      <c r="H5" s="771"/>
      <c r="I5" s="796" t="s">
        <v>47</v>
      </c>
      <c r="J5" s="70" t="s">
        <v>46</v>
      </c>
    </row>
    <row r="6" spans="1:11" ht="15" customHeight="1">
      <c r="A6" s="13" t="s">
        <v>28</v>
      </c>
      <c r="B6" s="80" t="s">
        <v>259</v>
      </c>
      <c r="C6" s="14" t="s">
        <v>70</v>
      </c>
      <c r="D6" s="13" t="s">
        <v>29</v>
      </c>
      <c r="E6" s="772"/>
      <c r="F6" s="773"/>
      <c r="G6" s="773"/>
      <c r="H6" s="773"/>
      <c r="I6" s="797"/>
      <c r="J6" s="13" t="s">
        <v>27</v>
      </c>
      <c r="K6" s="9"/>
    </row>
    <row r="7" spans="1:11" ht="15" customHeight="1">
      <c r="A7" s="13" t="s">
        <v>30</v>
      </c>
      <c r="B7" s="80" t="s">
        <v>260</v>
      </c>
      <c r="C7" s="14" t="s">
        <v>30</v>
      </c>
      <c r="D7" s="13" t="s">
        <v>30</v>
      </c>
      <c r="E7" s="772"/>
      <c r="F7" s="773"/>
      <c r="G7" s="773"/>
      <c r="H7" s="773"/>
      <c r="I7" s="797"/>
      <c r="J7" s="13" t="s">
        <v>262</v>
      </c>
      <c r="K7" s="9"/>
    </row>
    <row r="8" spans="1:11" ht="15" customHeight="1" thickBot="1">
      <c r="A8" s="15"/>
      <c r="B8" s="10" t="s">
        <v>261</v>
      </c>
      <c r="C8" s="16"/>
      <c r="D8" s="15"/>
      <c r="E8" s="774"/>
      <c r="F8" s="775"/>
      <c r="G8" s="775"/>
      <c r="H8" s="775"/>
      <c r="I8" s="798"/>
      <c r="J8" s="15" t="s">
        <v>263</v>
      </c>
      <c r="K8" s="8" t="s">
        <v>174</v>
      </c>
    </row>
    <row r="9" spans="1:11" ht="16.5" customHeight="1" thickTop="1">
      <c r="A9" s="17"/>
      <c r="B9" s="18"/>
      <c r="C9" s="18"/>
      <c r="D9" s="19">
        <v>34396841.66</v>
      </c>
      <c r="E9" s="20" t="s">
        <v>48</v>
      </c>
      <c r="F9" s="21"/>
      <c r="G9" s="21"/>
      <c r="H9" s="21"/>
      <c r="I9" s="22"/>
      <c r="J9" s="74">
        <v>41484025.53</v>
      </c>
      <c r="K9" s="23">
        <v>0</v>
      </c>
    </row>
    <row r="10" spans="1:11" ht="16.5" customHeight="1">
      <c r="A10" s="17"/>
      <c r="B10" s="18"/>
      <c r="C10" s="18"/>
      <c r="D10" s="19"/>
      <c r="E10" s="24" t="s">
        <v>264</v>
      </c>
      <c r="F10" s="21"/>
      <c r="G10" s="21"/>
      <c r="H10" s="21"/>
      <c r="I10" s="22"/>
      <c r="J10" s="61"/>
      <c r="K10" s="60"/>
    </row>
    <row r="11" spans="1:12" ht="16.5" customHeight="1">
      <c r="A11" s="25">
        <v>698500</v>
      </c>
      <c r="B11" s="18"/>
      <c r="C11" s="18">
        <f aca="true" t="shared" si="0" ref="C11:C18">A11</f>
        <v>698500</v>
      </c>
      <c r="D11" s="19">
        <f>J11+K11</f>
        <v>606721.41</v>
      </c>
      <c r="E11" s="26" t="s">
        <v>31</v>
      </c>
      <c r="F11" s="21"/>
      <c r="G11" s="21"/>
      <c r="H11" s="21"/>
      <c r="I11" s="22" t="s">
        <v>189</v>
      </c>
      <c r="J11" s="61">
        <f>ใบผ่านรายการ3!G9</f>
        <v>0</v>
      </c>
      <c r="K11" s="60">
        <f>9823+48642+190486+235426.45+122343.96</f>
        <v>606721.41</v>
      </c>
      <c r="L11" s="409"/>
    </row>
    <row r="12" spans="1:11" ht="16.5" customHeight="1">
      <c r="A12" s="25">
        <v>451800</v>
      </c>
      <c r="B12" s="18"/>
      <c r="C12" s="18">
        <f t="shared" si="0"/>
        <v>451800</v>
      </c>
      <c r="D12" s="19">
        <f>J12+K12</f>
        <v>291505.3</v>
      </c>
      <c r="E12" s="26" t="s">
        <v>32</v>
      </c>
      <c r="F12" s="21"/>
      <c r="G12" s="21"/>
      <c r="H12" s="21"/>
      <c r="I12" s="22" t="s">
        <v>190</v>
      </c>
      <c r="J12" s="61">
        <f>ใบผ่านรายการ3!G26</f>
        <v>33404.6</v>
      </c>
      <c r="K12" s="60">
        <f>23564+33108.2+40525+43222.2+24650+35176.3+28290+29565</f>
        <v>258100.7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aca="true" t="shared" si="1" ref="D13:D69">J13+K13</f>
        <v>420961.81</v>
      </c>
      <c r="E13" s="26" t="s">
        <v>33</v>
      </c>
      <c r="F13" s="21"/>
      <c r="G13" s="21"/>
      <c r="H13" s="21"/>
      <c r="I13" s="22" t="s">
        <v>191</v>
      </c>
      <c r="J13" s="61">
        <f>ใบผ่านรายการ3!G30</f>
        <v>30760</v>
      </c>
      <c r="K13" s="60">
        <f>30960+41232+31470+156719.81+34880+34650+27940+32350</f>
        <v>390201.81</v>
      </c>
      <c r="L13" s="409">
        <f>J11+J12+J13+J15+J16+J17+J18</f>
        <v>1818172.72</v>
      </c>
    </row>
    <row r="14" spans="1:11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1">
        <v>0</v>
      </c>
      <c r="K14" s="60">
        <v>0</v>
      </c>
    </row>
    <row r="15" spans="1:12" ht="16.5" customHeight="1">
      <c r="A15" s="25">
        <v>121200</v>
      </c>
      <c r="B15" s="18"/>
      <c r="C15" s="18">
        <f t="shared" si="0"/>
        <v>121200</v>
      </c>
      <c r="D15" s="19">
        <f t="shared" si="1"/>
        <v>47273</v>
      </c>
      <c r="E15" s="26" t="s">
        <v>11</v>
      </c>
      <c r="F15" s="21"/>
      <c r="G15" s="21"/>
      <c r="H15" s="21"/>
      <c r="I15" s="22" t="s">
        <v>192</v>
      </c>
      <c r="J15" s="61">
        <f>ใบผ่านรายการ3!G33</f>
        <v>1138.5</v>
      </c>
      <c r="K15" s="60">
        <f>3008+1466+4563+2450+1926+2061+30408.5+252</f>
        <v>46134.5</v>
      </c>
      <c r="L15" s="409">
        <f>SUM(K11:K18)</f>
        <v>19678418.85</v>
      </c>
    </row>
    <row r="16" spans="1:11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193</v>
      </c>
      <c r="J16" s="61">
        <v>0</v>
      </c>
      <c r="K16" s="60">
        <v>0</v>
      </c>
    </row>
    <row r="17" spans="1:12" ht="16.5" customHeight="1">
      <c r="A17" s="25">
        <v>17070000</v>
      </c>
      <c r="B17" s="18"/>
      <c r="C17" s="18">
        <f t="shared" si="0"/>
        <v>17070000</v>
      </c>
      <c r="D17" s="19">
        <f t="shared" si="1"/>
        <v>13632409.05</v>
      </c>
      <c r="E17" s="26" t="s">
        <v>86</v>
      </c>
      <c r="F17" s="21"/>
      <c r="G17" s="21"/>
      <c r="H17" s="21"/>
      <c r="I17" s="22" t="s">
        <v>248</v>
      </c>
      <c r="J17" s="61">
        <f>ใบผ่านรายการ3!G42</f>
        <v>1752869.6199999999</v>
      </c>
      <c r="K17" s="60">
        <f>619138.65+3806570.2+2033418.82+425691.63+2690203.14+16866.52+2287650.47</f>
        <v>11879539.430000002</v>
      </c>
      <c r="L17" s="409"/>
    </row>
    <row r="18" spans="1:11" ht="17.25">
      <c r="A18" s="25">
        <v>33919200</v>
      </c>
      <c r="B18" s="18"/>
      <c r="C18" s="18">
        <f t="shared" si="0"/>
        <v>33919200</v>
      </c>
      <c r="D18" s="19">
        <f t="shared" si="1"/>
        <v>6497721</v>
      </c>
      <c r="E18" s="26" t="s">
        <v>82</v>
      </c>
      <c r="F18" s="21"/>
      <c r="G18" s="21"/>
      <c r="H18" s="21"/>
      <c r="I18" s="22" t="s">
        <v>249</v>
      </c>
      <c r="J18" s="61">
        <f>ใบผ่านรายการ3!F57</f>
        <v>0</v>
      </c>
      <c r="K18" s="60">
        <f>3248860.5+3248860.5</f>
        <v>6497721</v>
      </c>
    </row>
    <row r="19" spans="1:13" ht="17.25" hidden="1">
      <c r="A19" s="17"/>
      <c r="B19" s="18"/>
      <c r="C19" s="18">
        <f aca="true" t="shared" si="2" ref="C19:C24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241</v>
      </c>
      <c r="J19" s="61"/>
      <c r="K19" s="60">
        <v>0</v>
      </c>
      <c r="M19" s="409"/>
    </row>
    <row r="20" spans="1:13" ht="17.25" hidden="1">
      <c r="A20" s="17"/>
      <c r="B20" s="18"/>
      <c r="C20" s="18">
        <f t="shared" si="2"/>
        <v>0</v>
      </c>
      <c r="D20" s="19">
        <f t="shared" si="1"/>
        <v>0</v>
      </c>
      <c r="E20" s="21" t="s">
        <v>243</v>
      </c>
      <c r="F20" s="21"/>
      <c r="G20" s="21"/>
      <c r="H20" s="21"/>
      <c r="I20" s="22" t="s">
        <v>244</v>
      </c>
      <c r="J20" s="61"/>
      <c r="K20" s="60">
        <v>0</v>
      </c>
      <c r="M20" s="409"/>
    </row>
    <row r="21" spans="1:13" ht="17.25" hidden="1">
      <c r="A21" s="17"/>
      <c r="B21" s="18"/>
      <c r="C21" s="18">
        <f t="shared" si="2"/>
        <v>0</v>
      </c>
      <c r="D21" s="19">
        <f t="shared" si="1"/>
        <v>0</v>
      </c>
      <c r="E21" s="21" t="s">
        <v>315</v>
      </c>
      <c r="F21" s="21"/>
      <c r="G21" s="21"/>
      <c r="H21" s="21"/>
      <c r="I21" s="22" t="s">
        <v>314</v>
      </c>
      <c r="J21" s="61"/>
      <c r="K21" s="60">
        <v>0</v>
      </c>
      <c r="M21" s="409"/>
    </row>
    <row r="22" spans="1:12" ht="17.25" hidden="1">
      <c r="A22" s="17"/>
      <c r="B22" s="18"/>
      <c r="C22" s="18">
        <f t="shared" si="2"/>
        <v>0</v>
      </c>
      <c r="D22" s="19">
        <f t="shared" si="1"/>
        <v>0</v>
      </c>
      <c r="E22" s="26" t="s">
        <v>137</v>
      </c>
      <c r="F22" s="21"/>
      <c r="G22" s="21"/>
      <c r="H22" s="21"/>
      <c r="I22" s="22" t="s">
        <v>250</v>
      </c>
      <c r="J22" s="61"/>
      <c r="K22" s="60">
        <v>0</v>
      </c>
      <c r="L22" s="409">
        <f>+J53</f>
        <v>0</v>
      </c>
    </row>
    <row r="23" spans="1:12" ht="17.25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187</v>
      </c>
      <c r="J23" s="19"/>
      <c r="K23" s="60">
        <v>0</v>
      </c>
      <c r="L23" s="409">
        <f>J24+J25+J26+J27+J28+J29+J30+J31+J32+J33+J39+J53+J41+J44+J45+J46+J47+J48+J49</f>
        <v>30000</v>
      </c>
    </row>
    <row r="24" spans="1:12" ht="17.25">
      <c r="A24" s="17"/>
      <c r="B24" s="18">
        <v>0</v>
      </c>
      <c r="C24" s="18">
        <f t="shared" si="2"/>
        <v>0</v>
      </c>
      <c r="D24" s="19">
        <f t="shared" si="1"/>
        <v>0</v>
      </c>
      <c r="E24" s="606" t="s">
        <v>178</v>
      </c>
      <c r="F24" s="30"/>
      <c r="G24" s="126"/>
      <c r="H24" s="30"/>
      <c r="I24" s="22" t="s">
        <v>251</v>
      </c>
      <c r="J24" s="75">
        <v>0</v>
      </c>
      <c r="K24" s="60">
        <v>0</v>
      </c>
      <c r="L24" s="410">
        <f>L13+L23</f>
        <v>1848172.72</v>
      </c>
    </row>
    <row r="25" spans="1:13" ht="17.25">
      <c r="A25" s="25"/>
      <c r="B25" s="18"/>
      <c r="C25" s="18">
        <f aca="true" t="shared" si="3" ref="C25:C34">B25</f>
        <v>0</v>
      </c>
      <c r="D25" s="19">
        <f t="shared" si="1"/>
        <v>71669.25</v>
      </c>
      <c r="E25" s="765" t="s">
        <v>209</v>
      </c>
      <c r="F25" s="766"/>
      <c r="G25" s="766"/>
      <c r="H25" s="766"/>
      <c r="I25" s="22" t="s">
        <v>251</v>
      </c>
      <c r="J25" s="60">
        <f>ใบผ่านรายการ3!F81</f>
        <v>0</v>
      </c>
      <c r="K25" s="60">
        <f>23889.75+23889.75+23889.75</f>
        <v>71669.25</v>
      </c>
      <c r="M25" s="409"/>
    </row>
    <row r="26" spans="1:11" ht="17.25">
      <c r="A26" s="25"/>
      <c r="B26" s="18"/>
      <c r="C26" s="18">
        <f t="shared" si="3"/>
        <v>0</v>
      </c>
      <c r="D26" s="19">
        <f t="shared" si="1"/>
        <v>3454200</v>
      </c>
      <c r="E26" s="606" t="s">
        <v>210</v>
      </c>
      <c r="F26" s="30"/>
      <c r="G26" s="30"/>
      <c r="H26" s="30"/>
      <c r="I26" s="22" t="s">
        <v>251</v>
      </c>
      <c r="J26" s="19">
        <f>ใบผ่านรายการ3!F58</f>
        <v>0</v>
      </c>
      <c r="K26" s="60">
        <f>1151400+1151400+1151400</f>
        <v>3454200</v>
      </c>
    </row>
    <row r="27" spans="1:11" ht="16.5" customHeight="1">
      <c r="A27" s="27"/>
      <c r="B27" s="18"/>
      <c r="C27" s="18">
        <f t="shared" si="3"/>
        <v>0</v>
      </c>
      <c r="D27" s="19">
        <f t="shared" si="1"/>
        <v>763200</v>
      </c>
      <c r="E27" s="606" t="s">
        <v>211</v>
      </c>
      <c r="F27" s="30"/>
      <c r="G27" s="30"/>
      <c r="H27" s="30"/>
      <c r="I27" s="22" t="s">
        <v>251</v>
      </c>
      <c r="J27" s="19">
        <f>ใบผ่านรายการ3!F59</f>
        <v>0</v>
      </c>
      <c r="K27" s="60">
        <f>254400+254400+254400</f>
        <v>763200</v>
      </c>
    </row>
    <row r="28" spans="1:11" ht="16.5" customHeight="1">
      <c r="A28" s="27"/>
      <c r="B28" s="18"/>
      <c r="C28" s="18">
        <f t="shared" si="3"/>
        <v>0</v>
      </c>
      <c r="D28" s="19">
        <f t="shared" si="1"/>
        <v>4500</v>
      </c>
      <c r="E28" s="29" t="s">
        <v>212</v>
      </c>
      <c r="F28" s="30"/>
      <c r="G28" s="30"/>
      <c r="H28" s="30"/>
      <c r="I28" s="22" t="s">
        <v>251</v>
      </c>
      <c r="J28" s="19">
        <f>ใบผ่านรายการ3!F71</f>
        <v>0</v>
      </c>
      <c r="K28" s="60">
        <f>1500+1500+1500</f>
        <v>4500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765" t="s">
        <v>213</v>
      </c>
      <c r="F29" s="766"/>
      <c r="G29" s="766"/>
      <c r="H29" s="766"/>
      <c r="I29" s="22" t="s">
        <v>251</v>
      </c>
      <c r="J29" s="19">
        <v>0</v>
      </c>
      <c r="K29" s="60">
        <v>0</v>
      </c>
      <c r="L29" s="409">
        <f>J25+J31+J32</f>
        <v>0</v>
      </c>
      <c r="M29" s="409"/>
    </row>
    <row r="30" spans="1:11" ht="16.5" customHeight="1">
      <c r="A30" s="33"/>
      <c r="B30" s="18"/>
      <c r="C30" s="18">
        <f t="shared" si="3"/>
        <v>0</v>
      </c>
      <c r="D30" s="19">
        <f t="shared" si="1"/>
        <v>125550</v>
      </c>
      <c r="E30" s="765" t="s">
        <v>214</v>
      </c>
      <c r="F30" s="766"/>
      <c r="G30" s="766"/>
      <c r="H30" s="766"/>
      <c r="I30" s="22" t="s">
        <v>251</v>
      </c>
      <c r="J30" s="19">
        <f>ใบผ่านรายการ3!F70</f>
        <v>30000</v>
      </c>
      <c r="K30" s="60">
        <f>35850+29850+29850</f>
        <v>95550</v>
      </c>
    </row>
    <row r="31" spans="1:11" ht="16.5" customHeight="1">
      <c r="A31" s="25"/>
      <c r="B31" s="18"/>
      <c r="C31" s="18">
        <f t="shared" si="3"/>
        <v>0</v>
      </c>
      <c r="D31" s="19">
        <f t="shared" si="1"/>
        <v>124500</v>
      </c>
      <c r="E31" s="765" t="s">
        <v>245</v>
      </c>
      <c r="F31" s="766"/>
      <c r="G31" s="766"/>
      <c r="H31" s="767"/>
      <c r="I31" s="22" t="s">
        <v>251</v>
      </c>
      <c r="J31" s="60">
        <f>ใบผ่านรายการ3!F79</f>
        <v>0</v>
      </c>
      <c r="K31" s="60">
        <f>37500+43500+43500</f>
        <v>124500</v>
      </c>
    </row>
    <row r="32" spans="1:12" ht="16.5" customHeight="1">
      <c r="A32" s="17"/>
      <c r="B32" s="18"/>
      <c r="C32" s="18">
        <f t="shared" si="3"/>
        <v>0</v>
      </c>
      <c r="D32" s="19">
        <f t="shared" si="1"/>
        <v>24940</v>
      </c>
      <c r="E32" s="765" t="s">
        <v>299</v>
      </c>
      <c r="F32" s="766"/>
      <c r="G32" s="766"/>
      <c r="H32" s="766"/>
      <c r="I32" s="22" t="s">
        <v>251</v>
      </c>
      <c r="J32" s="60">
        <f>ใบผ่านรายการ3!F80</f>
        <v>0</v>
      </c>
      <c r="K32" s="60">
        <v>24940</v>
      </c>
      <c r="L32" s="409">
        <f>J11+J12+J13+J15+J17+J31</f>
        <v>1818172.72</v>
      </c>
    </row>
    <row r="33" spans="1:11" ht="16.5" customHeight="1">
      <c r="A33" s="17"/>
      <c r="B33" s="18"/>
      <c r="C33" s="18">
        <f t="shared" si="3"/>
        <v>0</v>
      </c>
      <c r="D33" s="19">
        <f t="shared" si="1"/>
        <v>0</v>
      </c>
      <c r="E33" s="765" t="s">
        <v>246</v>
      </c>
      <c r="F33" s="766"/>
      <c r="G33" s="766"/>
      <c r="H33" s="766"/>
      <c r="I33" s="22" t="s">
        <v>251</v>
      </c>
      <c r="J33" s="19">
        <v>0</v>
      </c>
      <c r="K33" s="60">
        <v>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0</v>
      </c>
      <c r="E34" s="760" t="s">
        <v>461</v>
      </c>
      <c r="F34" s="761"/>
      <c r="G34" s="761"/>
      <c r="H34" s="762"/>
      <c r="I34" s="22" t="s">
        <v>251</v>
      </c>
      <c r="J34" s="19">
        <v>0</v>
      </c>
      <c r="K34" s="60">
        <v>0</v>
      </c>
      <c r="L34" s="409"/>
      <c r="M34" s="409"/>
    </row>
    <row r="35" spans="1:13" ht="16.5" customHeight="1">
      <c r="A35" s="17"/>
      <c r="B35" s="18"/>
      <c r="C35" s="18"/>
      <c r="D35" s="19">
        <f>J35+K35</f>
        <v>0</v>
      </c>
      <c r="E35" s="760" t="s">
        <v>497</v>
      </c>
      <c r="F35" s="761"/>
      <c r="G35" s="761"/>
      <c r="H35" s="762"/>
      <c r="I35" s="22" t="s">
        <v>251</v>
      </c>
      <c r="J35" s="19">
        <v>0</v>
      </c>
      <c r="K35" s="60">
        <v>0</v>
      </c>
      <c r="L35" s="409"/>
      <c r="M35" s="409"/>
    </row>
    <row r="36" spans="1:13" ht="16.5" customHeight="1">
      <c r="A36" s="17"/>
      <c r="B36" s="18"/>
      <c r="C36" s="18"/>
      <c r="D36" s="19">
        <f>J36+K36</f>
        <v>0</v>
      </c>
      <c r="E36" s="760" t="s">
        <v>498</v>
      </c>
      <c r="F36" s="761"/>
      <c r="G36" s="761"/>
      <c r="H36" s="762"/>
      <c r="I36" s="22" t="s">
        <v>251</v>
      </c>
      <c r="J36" s="19">
        <v>0</v>
      </c>
      <c r="K36" s="60">
        <v>0</v>
      </c>
      <c r="L36" s="409">
        <f>J26+J27+J28+J30+J39+J40+J41+J42+J43+J44+J45+J46+J47+J48+J49+J50+J59</f>
        <v>30000</v>
      </c>
      <c r="M36" s="409"/>
    </row>
    <row r="37" spans="1:13" ht="16.5" customHeight="1">
      <c r="A37" s="17"/>
      <c r="B37" s="18"/>
      <c r="C37" s="18"/>
      <c r="D37" s="19">
        <f>J37+K37</f>
        <v>0</v>
      </c>
      <c r="E37" s="760" t="s">
        <v>499</v>
      </c>
      <c r="F37" s="761"/>
      <c r="G37" s="761"/>
      <c r="H37" s="762"/>
      <c r="I37" s="22" t="s">
        <v>251</v>
      </c>
      <c r="J37" s="19">
        <v>0</v>
      </c>
      <c r="K37" s="60">
        <v>0</v>
      </c>
      <c r="L37" s="409"/>
      <c r="M37" s="409"/>
    </row>
    <row r="38" spans="1:13" ht="32.25" customHeight="1">
      <c r="A38" s="17"/>
      <c r="B38" s="18"/>
      <c r="C38" s="18"/>
      <c r="D38" s="19">
        <f>J38+K38</f>
        <v>0</v>
      </c>
      <c r="E38" s="760" t="s">
        <v>500</v>
      </c>
      <c r="F38" s="761"/>
      <c r="G38" s="761"/>
      <c r="H38" s="762"/>
      <c r="I38" s="22" t="s">
        <v>251</v>
      </c>
      <c r="J38" s="19">
        <v>0</v>
      </c>
      <c r="K38" s="60">
        <v>0</v>
      </c>
      <c r="L38" s="409"/>
      <c r="M38" s="409"/>
    </row>
    <row r="39" spans="1:12" ht="16.5" customHeight="1">
      <c r="A39" s="17"/>
      <c r="B39" s="18"/>
      <c r="C39" s="18"/>
      <c r="D39" s="19">
        <f t="shared" si="1"/>
        <v>15000</v>
      </c>
      <c r="E39" s="760" t="s">
        <v>325</v>
      </c>
      <c r="F39" s="761"/>
      <c r="G39" s="761"/>
      <c r="H39" s="762"/>
      <c r="I39" s="22" t="s">
        <v>251</v>
      </c>
      <c r="J39" s="19">
        <f>ใบผ่านรายการ3!F72</f>
        <v>0</v>
      </c>
      <c r="K39" s="60">
        <v>15000</v>
      </c>
      <c r="L39" s="409"/>
    </row>
    <row r="40" spans="1:12" ht="16.5" customHeight="1">
      <c r="A40" s="17"/>
      <c r="B40" s="18"/>
      <c r="C40" s="18"/>
      <c r="D40" s="19">
        <f t="shared" si="1"/>
        <v>30500</v>
      </c>
      <c r="E40" s="760" t="s">
        <v>462</v>
      </c>
      <c r="F40" s="761"/>
      <c r="G40" s="761"/>
      <c r="H40" s="762"/>
      <c r="I40" s="22" t="s">
        <v>251</v>
      </c>
      <c r="J40" s="19">
        <f>ใบผ่านรายการ3!F63</f>
        <v>0</v>
      </c>
      <c r="K40" s="60">
        <v>30500</v>
      </c>
      <c r="L40" s="409"/>
    </row>
    <row r="41" spans="1:12" ht="16.5" customHeight="1">
      <c r="A41" s="17"/>
      <c r="B41" s="18"/>
      <c r="C41" s="18"/>
      <c r="D41" s="19">
        <f t="shared" si="1"/>
        <v>40800</v>
      </c>
      <c r="E41" s="607" t="s">
        <v>463</v>
      </c>
      <c r="F41" s="30"/>
      <c r="G41" s="30"/>
      <c r="H41" s="30"/>
      <c r="I41" s="22" t="s">
        <v>251</v>
      </c>
      <c r="J41" s="19">
        <f>ใบผ่านรายการ3!F73</f>
        <v>0</v>
      </c>
      <c r="K41" s="60">
        <v>40800</v>
      </c>
      <c r="L41" s="409"/>
    </row>
    <row r="42" spans="1:12" ht="16.5" customHeight="1">
      <c r="A42" s="17"/>
      <c r="B42" s="18"/>
      <c r="C42" s="18"/>
      <c r="D42" s="19">
        <f>J42+K42</f>
        <v>167246</v>
      </c>
      <c r="E42" s="607" t="s">
        <v>501</v>
      </c>
      <c r="F42" s="30"/>
      <c r="G42" s="30"/>
      <c r="H42" s="30"/>
      <c r="I42" s="22" t="s">
        <v>393</v>
      </c>
      <c r="J42" s="19">
        <f>ใบผ่านรายการ3!F62</f>
        <v>0</v>
      </c>
      <c r="K42" s="60">
        <f>82695+84551</f>
        <v>167246</v>
      </c>
      <c r="L42" s="409"/>
    </row>
    <row r="43" spans="1:12" ht="16.5" customHeight="1">
      <c r="A43" s="17"/>
      <c r="B43" s="18"/>
      <c r="C43" s="18"/>
      <c r="D43" s="19">
        <f>J43+K43</f>
        <v>116395</v>
      </c>
      <c r="E43" s="607" t="s">
        <v>502</v>
      </c>
      <c r="F43" s="30"/>
      <c r="G43" s="30"/>
      <c r="H43" s="30"/>
      <c r="I43" s="22" t="s">
        <v>272</v>
      </c>
      <c r="J43" s="19">
        <f>ใบผ่านรายการ3!F61</f>
        <v>0</v>
      </c>
      <c r="K43" s="60">
        <f>57555+58840</f>
        <v>116395</v>
      </c>
      <c r="L43" s="409"/>
    </row>
    <row r="44" spans="1:12" ht="16.5" customHeight="1">
      <c r="A44" s="17"/>
      <c r="B44" s="18"/>
      <c r="C44" s="18"/>
      <c r="D44" s="19">
        <f t="shared" si="1"/>
        <v>661700</v>
      </c>
      <c r="E44" s="779" t="s">
        <v>377</v>
      </c>
      <c r="F44" s="780"/>
      <c r="G44" s="780"/>
      <c r="H44" s="781"/>
      <c r="I44" s="22" t="s">
        <v>251</v>
      </c>
      <c r="J44" s="19">
        <f>ใบผ่านรายการ3!F64</f>
        <v>0</v>
      </c>
      <c r="K44" s="60">
        <f>327200+334500</f>
        <v>661700</v>
      </c>
      <c r="L44" s="409"/>
    </row>
    <row r="45" spans="1:12" ht="16.5" customHeight="1">
      <c r="A45" s="17"/>
      <c r="B45" s="18"/>
      <c r="C45" s="18"/>
      <c r="D45" s="19">
        <f t="shared" si="1"/>
        <v>35929</v>
      </c>
      <c r="E45" s="760" t="s">
        <v>464</v>
      </c>
      <c r="F45" s="761"/>
      <c r="G45" s="761"/>
      <c r="H45" s="762"/>
      <c r="I45" s="22" t="s">
        <v>251</v>
      </c>
      <c r="J45" s="19">
        <f>ใบผ่านรายการ3!F65</f>
        <v>0</v>
      </c>
      <c r="K45" s="60">
        <f>11498+12455+11976</f>
        <v>35929</v>
      </c>
      <c r="L45" s="409"/>
    </row>
    <row r="46" spans="1:12" ht="16.5" customHeight="1">
      <c r="A46" s="17"/>
      <c r="B46" s="18"/>
      <c r="C46" s="18"/>
      <c r="D46" s="19">
        <f t="shared" si="1"/>
        <v>1064447</v>
      </c>
      <c r="E46" s="760" t="s">
        <v>465</v>
      </c>
      <c r="F46" s="761"/>
      <c r="G46" s="761"/>
      <c r="H46" s="762"/>
      <c r="I46" s="22" t="s">
        <v>251</v>
      </c>
      <c r="J46" s="19">
        <f>ใบผ่านรายการ3!F67</f>
        <v>0</v>
      </c>
      <c r="K46" s="60">
        <f>352580+314691+397176</f>
        <v>1064447</v>
      </c>
      <c r="L46" s="409"/>
    </row>
    <row r="47" spans="1:12" ht="16.5" customHeight="1">
      <c r="A47" s="17"/>
      <c r="B47" s="18"/>
      <c r="C47" s="18"/>
      <c r="D47" s="19">
        <f t="shared" si="1"/>
        <v>92500</v>
      </c>
      <c r="E47" s="760" t="s">
        <v>466</v>
      </c>
      <c r="F47" s="761"/>
      <c r="G47" s="761"/>
      <c r="H47" s="762"/>
      <c r="I47" s="22" t="s">
        <v>251</v>
      </c>
      <c r="J47" s="19">
        <f>ใบผ่านรายการ3!F66</f>
        <v>0</v>
      </c>
      <c r="K47" s="60">
        <f>31200+31300+30000</f>
        <v>92500</v>
      </c>
      <c r="L47" s="409"/>
    </row>
    <row r="48" spans="1:12" ht="16.5" customHeight="1">
      <c r="A48" s="17"/>
      <c r="B48" s="18"/>
      <c r="C48" s="18"/>
      <c r="D48" s="19">
        <f t="shared" si="1"/>
        <v>2222000</v>
      </c>
      <c r="E48" s="760" t="s">
        <v>467</v>
      </c>
      <c r="F48" s="761"/>
      <c r="G48" s="761"/>
      <c r="H48" s="762"/>
      <c r="I48" s="22" t="s">
        <v>251</v>
      </c>
      <c r="J48" s="19">
        <f>ใบผ่านรายการ3!F68</f>
        <v>0</v>
      </c>
      <c r="K48" s="60">
        <f>736000+666480+819520</f>
        <v>2222000</v>
      </c>
      <c r="L48" s="409"/>
    </row>
    <row r="49" spans="1:12" ht="16.5" customHeight="1">
      <c r="A49" s="17"/>
      <c r="B49" s="18"/>
      <c r="C49" s="18"/>
      <c r="D49" s="19">
        <f t="shared" si="1"/>
        <v>4956590</v>
      </c>
      <c r="E49" s="760" t="s">
        <v>468</v>
      </c>
      <c r="F49" s="761"/>
      <c r="G49" s="761"/>
      <c r="H49" s="762"/>
      <c r="I49" s="22" t="s">
        <v>251</v>
      </c>
      <c r="J49" s="19">
        <f>ใบผ่านรายการ3!F69</f>
        <v>0</v>
      </c>
      <c r="K49" s="60">
        <f>1601770+1677410+1677410</f>
        <v>4956590</v>
      </c>
      <c r="L49" s="409"/>
    </row>
    <row r="50" spans="1:12" ht="16.5" customHeight="1">
      <c r="A50" s="17"/>
      <c r="B50" s="18"/>
      <c r="C50" s="18"/>
      <c r="D50" s="19">
        <f t="shared" si="1"/>
        <v>357800</v>
      </c>
      <c r="E50" s="765" t="s">
        <v>543</v>
      </c>
      <c r="F50" s="766"/>
      <c r="G50" s="766"/>
      <c r="H50" s="767"/>
      <c r="I50" s="22" t="s">
        <v>251</v>
      </c>
      <c r="J50" s="19">
        <f>ใบผ่านรายการ3!F60</f>
        <v>0</v>
      </c>
      <c r="K50" s="60">
        <f>41000+307200+9600</f>
        <v>357800</v>
      </c>
      <c r="L50" s="409"/>
    </row>
    <row r="51" spans="1:12" ht="16.5" customHeight="1">
      <c r="A51" s="17"/>
      <c r="B51" s="18"/>
      <c r="C51" s="18"/>
      <c r="D51" s="19">
        <f t="shared" si="1"/>
        <v>124810</v>
      </c>
      <c r="E51" s="765" t="s">
        <v>544</v>
      </c>
      <c r="F51" s="766"/>
      <c r="G51" s="766"/>
      <c r="H51" s="767"/>
      <c r="I51" s="44" t="s">
        <v>251</v>
      </c>
      <c r="J51" s="699">
        <f>ใบผ่านรายการ3!F74</f>
        <v>0</v>
      </c>
      <c r="K51" s="652">
        <f>124810</f>
        <v>124810</v>
      </c>
      <c r="L51" s="409"/>
    </row>
    <row r="52" spans="1:12" ht="16.5" customHeight="1">
      <c r="A52" s="17"/>
      <c r="B52" s="18"/>
      <c r="C52" s="18"/>
      <c r="D52" s="19">
        <f t="shared" si="1"/>
        <v>95032</v>
      </c>
      <c r="E52" s="765" t="s">
        <v>545</v>
      </c>
      <c r="F52" s="766"/>
      <c r="G52" s="766"/>
      <c r="H52" s="767"/>
      <c r="I52" s="44" t="s">
        <v>251</v>
      </c>
      <c r="J52" s="699">
        <f>ใบผ่านรายการ3!F75</f>
        <v>0</v>
      </c>
      <c r="K52" s="652">
        <f>95032</f>
        <v>95032</v>
      </c>
      <c r="L52" s="409"/>
    </row>
    <row r="53" spans="1:11" ht="16.5" customHeight="1" hidden="1">
      <c r="A53" s="17"/>
      <c r="B53" s="18"/>
      <c r="C53" s="18">
        <f>B53</f>
        <v>0</v>
      </c>
      <c r="D53" s="19">
        <f t="shared" si="1"/>
        <v>0</v>
      </c>
      <c r="E53" s="29" t="s">
        <v>355</v>
      </c>
      <c r="F53" s="30"/>
      <c r="G53" s="30"/>
      <c r="H53" s="30"/>
      <c r="I53" s="22" t="s">
        <v>251</v>
      </c>
      <c r="J53" s="19">
        <v>0</v>
      </c>
      <c r="K53" s="60">
        <v>0</v>
      </c>
    </row>
    <row r="54" spans="1:11" ht="16.5" customHeight="1" hidden="1">
      <c r="A54" s="17"/>
      <c r="B54" s="18">
        <f>D54</f>
        <v>0</v>
      </c>
      <c r="C54" s="18">
        <f aca="true" t="shared" si="4" ref="C54:C70">A54</f>
        <v>0</v>
      </c>
      <c r="D54" s="19">
        <f t="shared" si="1"/>
        <v>0</v>
      </c>
      <c r="E54" s="126" t="s">
        <v>298</v>
      </c>
      <c r="F54" s="30"/>
      <c r="G54" s="30"/>
      <c r="H54" s="30"/>
      <c r="I54" s="22" t="s">
        <v>251</v>
      </c>
      <c r="J54" s="19">
        <v>0</v>
      </c>
      <c r="K54" s="60">
        <v>0</v>
      </c>
    </row>
    <row r="55" spans="1:11" ht="16.5" customHeight="1">
      <c r="A55" s="17"/>
      <c r="B55" s="18">
        <f>D55</f>
        <v>0</v>
      </c>
      <c r="C55" s="18">
        <f t="shared" si="4"/>
        <v>0</v>
      </c>
      <c r="D55" s="19">
        <f>J55+K55</f>
        <v>0</v>
      </c>
      <c r="E55" s="126" t="s">
        <v>496</v>
      </c>
      <c r="F55" s="30"/>
      <c r="G55" s="30"/>
      <c r="H55" s="30"/>
      <c r="I55" s="22" t="s">
        <v>251</v>
      </c>
      <c r="J55" s="19">
        <v>0</v>
      </c>
      <c r="K55" s="60">
        <v>0</v>
      </c>
    </row>
    <row r="56" spans="1:11" ht="16.5" customHeight="1">
      <c r="A56" s="17"/>
      <c r="B56" s="18"/>
      <c r="C56" s="18"/>
      <c r="D56" s="19">
        <f>J56+K56</f>
        <v>200000</v>
      </c>
      <c r="E56" s="776" t="s">
        <v>647</v>
      </c>
      <c r="F56" s="777"/>
      <c r="G56" s="777"/>
      <c r="H56" s="778"/>
      <c r="I56" s="22" t="s">
        <v>393</v>
      </c>
      <c r="J56" s="19">
        <f>ใบผ่านรายการ3!F73</f>
        <v>0</v>
      </c>
      <c r="K56" s="60">
        <v>200000</v>
      </c>
    </row>
    <row r="57" spans="1:11" ht="16.5" customHeight="1">
      <c r="A57" s="17"/>
      <c r="B57" s="18"/>
      <c r="C57" s="18"/>
      <c r="D57" s="19">
        <f>J57+K57</f>
        <v>1203</v>
      </c>
      <c r="E57" s="126" t="s">
        <v>659</v>
      </c>
      <c r="F57" s="30"/>
      <c r="G57" s="30"/>
      <c r="H57" s="30"/>
      <c r="I57" s="22"/>
      <c r="J57" s="19">
        <f>ใบผ่านรายการ3!F77</f>
        <v>153</v>
      </c>
      <c r="K57" s="60">
        <f>525+525</f>
        <v>1050</v>
      </c>
    </row>
    <row r="58" spans="1:11" ht="16.5" customHeight="1">
      <c r="A58" s="17"/>
      <c r="B58" s="18"/>
      <c r="C58" s="18"/>
      <c r="D58" s="19">
        <f>J58+K58</f>
        <v>12030</v>
      </c>
      <c r="E58" s="126" t="s">
        <v>660</v>
      </c>
      <c r="F58" s="30"/>
      <c r="G58" s="30"/>
      <c r="H58" s="30"/>
      <c r="I58" s="22"/>
      <c r="J58" s="19">
        <f>ใบผ่านรายการ3!F78</f>
        <v>1530</v>
      </c>
      <c r="K58" s="60">
        <f>5250+5250</f>
        <v>10500</v>
      </c>
    </row>
    <row r="59" spans="1:11" ht="16.5" customHeight="1">
      <c r="A59" s="17"/>
      <c r="B59" s="18"/>
      <c r="C59" s="18"/>
      <c r="D59" s="19">
        <f>J59+K59</f>
        <v>714010</v>
      </c>
      <c r="E59" s="776" t="s">
        <v>661</v>
      </c>
      <c r="F59" s="777"/>
      <c r="G59" s="777"/>
      <c r="H59" s="778"/>
      <c r="I59" s="22" t="s">
        <v>393</v>
      </c>
      <c r="J59" s="19">
        <v>0</v>
      </c>
      <c r="K59" s="60">
        <v>714010</v>
      </c>
    </row>
    <row r="60" spans="1:11" ht="16.5" customHeight="1">
      <c r="A60" s="17"/>
      <c r="B60" s="18">
        <v>0</v>
      </c>
      <c r="C60" s="18">
        <f t="shared" si="4"/>
        <v>0</v>
      </c>
      <c r="D60" s="19">
        <f t="shared" si="1"/>
        <v>0</v>
      </c>
      <c r="E60" s="21" t="s">
        <v>94</v>
      </c>
      <c r="F60" s="21"/>
      <c r="G60" s="21"/>
      <c r="H60" s="21"/>
      <c r="I60" s="22" t="s">
        <v>252</v>
      </c>
      <c r="J60" s="19">
        <f>'ใบผ่านรายการ 1 '!H15</f>
        <v>0</v>
      </c>
      <c r="K60" s="60">
        <v>0</v>
      </c>
    </row>
    <row r="61" spans="1:12" ht="16.5" customHeight="1">
      <c r="A61" s="17"/>
      <c r="B61" s="18">
        <v>0</v>
      </c>
      <c r="C61" s="18">
        <f t="shared" si="4"/>
        <v>0</v>
      </c>
      <c r="D61" s="19">
        <f t="shared" si="1"/>
        <v>343298.11</v>
      </c>
      <c r="E61" s="21" t="s">
        <v>87</v>
      </c>
      <c r="F61" s="21"/>
      <c r="G61" s="21"/>
      <c r="H61" s="21"/>
      <c r="I61" s="22" t="s">
        <v>186</v>
      </c>
      <c r="J61" s="19">
        <f>'ใบผ่านรายการ 1 '!I20+'ใบผ่านรายการ  2'!H46</f>
        <v>27772.239999999998</v>
      </c>
      <c r="K61" s="60">
        <f>18535.76+29117.84+22044+22731.96+122625.66+23866.1+48802.6+27801.95</f>
        <v>315525.87</v>
      </c>
      <c r="L61" s="409"/>
    </row>
    <row r="62" spans="1:11" ht="16.5" customHeight="1" hidden="1">
      <c r="A62" s="17"/>
      <c r="B62" s="18">
        <f>D62</f>
        <v>0</v>
      </c>
      <c r="C62" s="18">
        <f t="shared" si="4"/>
        <v>0</v>
      </c>
      <c r="D62" s="19">
        <f t="shared" si="1"/>
        <v>0</v>
      </c>
      <c r="E62" s="21" t="s">
        <v>81</v>
      </c>
      <c r="F62" s="21"/>
      <c r="G62" s="21"/>
      <c r="H62" s="21"/>
      <c r="I62" s="22" t="s">
        <v>256</v>
      </c>
      <c r="J62" s="19">
        <v>0</v>
      </c>
      <c r="K62" s="60">
        <v>0</v>
      </c>
    </row>
    <row r="63" spans="1:13" ht="17.25">
      <c r="A63" s="17"/>
      <c r="B63" s="18">
        <v>0</v>
      </c>
      <c r="C63" s="18">
        <f t="shared" si="4"/>
        <v>0</v>
      </c>
      <c r="D63" s="19">
        <f t="shared" si="1"/>
        <v>26700</v>
      </c>
      <c r="E63" s="37" t="s">
        <v>648</v>
      </c>
      <c r="F63" s="21"/>
      <c r="G63" s="21"/>
      <c r="H63" s="21"/>
      <c r="I63" s="22" t="s">
        <v>247</v>
      </c>
      <c r="J63" s="19">
        <f>'ใบผ่านรายการ 1 '!H31</f>
        <v>0</v>
      </c>
      <c r="K63" s="60">
        <f>600+5800+600+2300+1500+1600+14300</f>
        <v>26700</v>
      </c>
      <c r="M63" s="409"/>
    </row>
    <row r="64" spans="1:13" ht="17.25" hidden="1">
      <c r="A64" s="36"/>
      <c r="B64" s="18">
        <v>0</v>
      </c>
      <c r="C64" s="18">
        <f t="shared" si="4"/>
        <v>0</v>
      </c>
      <c r="D64" s="19">
        <f t="shared" si="1"/>
        <v>0</v>
      </c>
      <c r="E64" s="37" t="s">
        <v>142</v>
      </c>
      <c r="F64" s="37"/>
      <c r="G64" s="37"/>
      <c r="H64" s="37"/>
      <c r="I64" s="22" t="s">
        <v>267</v>
      </c>
      <c r="J64" s="19">
        <v>0</v>
      </c>
      <c r="K64" s="60">
        <v>0</v>
      </c>
      <c r="M64" s="409"/>
    </row>
    <row r="65" spans="1:13" ht="17.25" hidden="1">
      <c r="A65" s="17"/>
      <c r="B65" s="18">
        <v>0</v>
      </c>
      <c r="C65" s="18">
        <f t="shared" si="4"/>
        <v>0</v>
      </c>
      <c r="D65" s="19">
        <f t="shared" si="1"/>
        <v>0</v>
      </c>
      <c r="E65" s="37" t="s">
        <v>143</v>
      </c>
      <c r="F65" s="37"/>
      <c r="G65" s="37"/>
      <c r="H65" s="37"/>
      <c r="I65" s="22" t="s">
        <v>267</v>
      </c>
      <c r="J65" s="19">
        <f>'ใบผ่านรายการ 1 '!H29</f>
        <v>0</v>
      </c>
      <c r="K65" s="60">
        <v>0</v>
      </c>
      <c r="M65" s="409"/>
    </row>
    <row r="66" spans="1:11" ht="17.25" hidden="1">
      <c r="A66" s="17"/>
      <c r="B66" s="18">
        <v>0</v>
      </c>
      <c r="C66" s="18">
        <f t="shared" si="4"/>
        <v>0</v>
      </c>
      <c r="D66" s="19">
        <f t="shared" si="1"/>
        <v>0</v>
      </c>
      <c r="E66" s="37" t="s">
        <v>153</v>
      </c>
      <c r="F66" s="37"/>
      <c r="G66" s="37"/>
      <c r="H66" s="37"/>
      <c r="I66" s="22" t="s">
        <v>251</v>
      </c>
      <c r="J66" s="19">
        <v>0</v>
      </c>
      <c r="K66" s="60">
        <v>0</v>
      </c>
    </row>
    <row r="67" spans="1:11" ht="17.25" hidden="1">
      <c r="A67" s="17"/>
      <c r="B67" s="18">
        <v>0</v>
      </c>
      <c r="C67" s="18">
        <f t="shared" si="4"/>
        <v>0</v>
      </c>
      <c r="D67" s="19">
        <f t="shared" si="1"/>
        <v>0</v>
      </c>
      <c r="E67" s="37" t="s">
        <v>548</v>
      </c>
      <c r="F67" s="37"/>
      <c r="G67" s="37"/>
      <c r="H67" s="37"/>
      <c r="I67" s="22" t="s">
        <v>251</v>
      </c>
      <c r="J67" s="19">
        <f>'ใบผ่านรายการ 1 '!H30</f>
        <v>0</v>
      </c>
      <c r="K67" s="60">
        <v>0</v>
      </c>
    </row>
    <row r="68" spans="1:11" ht="17.25">
      <c r="A68" s="17"/>
      <c r="B68" s="18">
        <v>0</v>
      </c>
      <c r="C68" s="18">
        <f t="shared" si="4"/>
        <v>0</v>
      </c>
      <c r="D68" s="19">
        <f t="shared" si="1"/>
        <v>1400</v>
      </c>
      <c r="E68" s="37" t="s">
        <v>138</v>
      </c>
      <c r="F68" s="37"/>
      <c r="G68" s="37"/>
      <c r="H68" s="37"/>
      <c r="I68" s="22" t="s">
        <v>251</v>
      </c>
      <c r="J68" s="19">
        <f>'ใบผ่านรายการ 1 '!H32</f>
        <v>800</v>
      </c>
      <c r="K68" s="60">
        <v>600</v>
      </c>
    </row>
    <row r="69" spans="1:11" ht="17.25" hidden="1">
      <c r="A69" s="17"/>
      <c r="B69" s="18">
        <v>0</v>
      </c>
      <c r="C69" s="18">
        <f t="shared" si="4"/>
        <v>0</v>
      </c>
      <c r="D69" s="19">
        <f t="shared" si="1"/>
        <v>0</v>
      </c>
      <c r="E69" s="37" t="s">
        <v>503</v>
      </c>
      <c r="F69" s="37"/>
      <c r="G69" s="37"/>
      <c r="H69" s="37"/>
      <c r="I69" s="22" t="s">
        <v>360</v>
      </c>
      <c r="J69" s="19">
        <f>'ใบผ่านรายการ 1 '!H33</f>
        <v>0</v>
      </c>
      <c r="K69" s="60">
        <v>0</v>
      </c>
    </row>
    <row r="70" spans="1:11" ht="17.25" hidden="1">
      <c r="A70" s="25"/>
      <c r="B70" s="18">
        <f>D70</f>
        <v>0</v>
      </c>
      <c r="C70" s="18">
        <f t="shared" si="4"/>
        <v>0</v>
      </c>
      <c r="D70" s="19">
        <f>J70</f>
        <v>0</v>
      </c>
      <c r="E70" s="21"/>
      <c r="F70" s="21"/>
      <c r="G70" s="21"/>
      <c r="H70" s="21"/>
      <c r="I70" s="22"/>
      <c r="J70" s="19">
        <v>0</v>
      </c>
      <c r="K70" s="35">
        <v>0</v>
      </c>
    </row>
    <row r="71" spans="1:11" ht="17.25" customHeight="1" thickBot="1">
      <c r="A71" s="65">
        <f>SUM(A11:A70)</f>
        <v>53000000</v>
      </c>
      <c r="B71" s="65">
        <f>SUM(B11:B70)</f>
        <v>0</v>
      </c>
      <c r="C71" s="65">
        <f>SUM(C11:C70)</f>
        <v>53000000</v>
      </c>
      <c r="D71" s="42">
        <f>SUM(D11:D70)</f>
        <v>37344540.93</v>
      </c>
      <c r="E71" s="807" t="s">
        <v>66</v>
      </c>
      <c r="F71" s="808"/>
      <c r="G71" s="808"/>
      <c r="H71" s="808"/>
      <c r="I71" s="69"/>
      <c r="J71" s="42">
        <f>SUM(J11:J70)</f>
        <v>1878427.96</v>
      </c>
      <c r="K71" s="54">
        <f>SUM(K9:K69)</f>
        <v>35466112.97</v>
      </c>
    </row>
    <row r="72" spans="1:11" ht="16.5" customHeight="1" hidden="1" thickTop="1">
      <c r="A72" s="38"/>
      <c r="B72" s="38"/>
      <c r="C72" s="38"/>
      <c r="D72" s="515"/>
      <c r="E72" s="512"/>
      <c r="F72" s="512"/>
      <c r="G72" s="512"/>
      <c r="H72" s="512"/>
      <c r="I72" s="513"/>
      <c r="J72" s="515"/>
      <c r="K72" s="514"/>
    </row>
    <row r="73" spans="1:11" ht="16.5" customHeight="1" hidden="1">
      <c r="A73" s="38"/>
      <c r="B73" s="38"/>
      <c r="C73" s="38"/>
      <c r="D73" s="515"/>
      <c r="E73" s="512"/>
      <c r="F73" s="512"/>
      <c r="G73" s="512"/>
      <c r="H73" s="512"/>
      <c r="I73" s="513"/>
      <c r="J73" s="515"/>
      <c r="K73" s="514"/>
    </row>
    <row r="74" spans="1:10" ht="16.5" customHeight="1" thickBot="1" thickTop="1">
      <c r="A74" s="790" t="s">
        <v>292</v>
      </c>
      <c r="B74" s="790"/>
      <c r="C74" s="790"/>
      <c r="D74" s="790"/>
      <c r="E74" s="790"/>
      <c r="F74" s="790"/>
      <c r="G74" s="790"/>
      <c r="H74" s="790"/>
      <c r="I74" s="790"/>
      <c r="J74" s="790"/>
    </row>
    <row r="75" spans="1:11" ht="16.5" customHeight="1" thickTop="1">
      <c r="A75" s="800" t="s">
        <v>26</v>
      </c>
      <c r="B75" s="801"/>
      <c r="C75" s="801"/>
      <c r="D75" s="802"/>
      <c r="E75" s="770" t="s">
        <v>52</v>
      </c>
      <c r="F75" s="771"/>
      <c r="G75" s="771"/>
      <c r="H75" s="771"/>
      <c r="I75" s="796" t="s">
        <v>47</v>
      </c>
      <c r="J75" s="70" t="s">
        <v>46</v>
      </c>
      <c r="K75" s="768" t="s">
        <v>29</v>
      </c>
    </row>
    <row r="76" spans="1:11" ht="16.5" customHeight="1">
      <c r="A76" s="13" t="s">
        <v>28</v>
      </c>
      <c r="B76" s="80" t="s">
        <v>259</v>
      </c>
      <c r="C76" s="14" t="s">
        <v>70</v>
      </c>
      <c r="D76" s="13" t="s">
        <v>29</v>
      </c>
      <c r="E76" s="772"/>
      <c r="F76" s="773"/>
      <c r="G76" s="773"/>
      <c r="H76" s="773"/>
      <c r="I76" s="797"/>
      <c r="J76" s="13" t="s">
        <v>27</v>
      </c>
      <c r="K76" s="768"/>
    </row>
    <row r="77" spans="1:11" ht="16.5" customHeight="1">
      <c r="A77" s="13" t="s">
        <v>30</v>
      </c>
      <c r="B77" s="80" t="s">
        <v>260</v>
      </c>
      <c r="C77" s="14" t="s">
        <v>30</v>
      </c>
      <c r="D77" s="13" t="s">
        <v>30</v>
      </c>
      <c r="E77" s="772"/>
      <c r="F77" s="773"/>
      <c r="G77" s="773"/>
      <c r="H77" s="773"/>
      <c r="I77" s="797"/>
      <c r="J77" s="13" t="s">
        <v>262</v>
      </c>
      <c r="K77" s="768"/>
    </row>
    <row r="78" spans="1:11" ht="16.5" customHeight="1" thickBot="1">
      <c r="A78" s="15"/>
      <c r="B78" s="10" t="s">
        <v>261</v>
      </c>
      <c r="C78" s="16"/>
      <c r="D78" s="15"/>
      <c r="E78" s="774"/>
      <c r="F78" s="775"/>
      <c r="G78" s="775"/>
      <c r="H78" s="775"/>
      <c r="I78" s="798"/>
      <c r="J78" s="15" t="s">
        <v>263</v>
      </c>
      <c r="K78" s="769"/>
    </row>
    <row r="79" spans="1:11" ht="16.5" customHeight="1" thickTop="1">
      <c r="A79" s="79"/>
      <c r="B79" s="18"/>
      <c r="C79" s="18"/>
      <c r="D79" s="17"/>
      <c r="E79" s="43" t="s">
        <v>67</v>
      </c>
      <c r="F79" s="21"/>
      <c r="G79" s="21"/>
      <c r="H79" s="21"/>
      <c r="I79" s="44"/>
      <c r="J79" s="18"/>
      <c r="K79" s="45"/>
    </row>
    <row r="80" spans="1:11" ht="16.5" customHeight="1">
      <c r="A80" s="18">
        <v>10575876</v>
      </c>
      <c r="B80" s="18"/>
      <c r="C80" s="18">
        <f>A80</f>
        <v>10575876</v>
      </c>
      <c r="D80" s="76">
        <f>J80+K80</f>
        <v>2549654.17</v>
      </c>
      <c r="E80" s="26" t="s">
        <v>45</v>
      </c>
      <c r="F80" s="21"/>
      <c r="G80" s="46"/>
      <c r="H80" s="21"/>
      <c r="I80" s="22" t="s">
        <v>200</v>
      </c>
      <c r="J80" s="34">
        <f>'ใบผ่านรายการ  2'!E6</f>
        <v>66909.75</v>
      </c>
      <c r="K80" s="45">
        <f>32703.75+54209.75+474596.35+739115.57+267089.75+424409.75+65009.75+425609.75</f>
        <v>2482744.42</v>
      </c>
    </row>
    <row r="81" spans="1:16" s="11" customFormat="1" ht="16.5" customHeight="1">
      <c r="A81" s="25">
        <v>2624640</v>
      </c>
      <c r="B81" s="40"/>
      <c r="C81" s="18">
        <f aca="true" t="shared" si="5" ref="C81:C92">A81</f>
        <v>2624640</v>
      </c>
      <c r="D81" s="76">
        <f aca="true" t="shared" si="6" ref="D81:D116">J81+K81</f>
        <v>1968480</v>
      </c>
      <c r="E81" s="47" t="s">
        <v>181</v>
      </c>
      <c r="F81" s="37"/>
      <c r="G81" s="37"/>
      <c r="H81" s="37"/>
      <c r="I81" s="22" t="s">
        <v>253</v>
      </c>
      <c r="J81" s="34">
        <f>'ใบผ่านรายการ  2'!E8</f>
        <v>218720</v>
      </c>
      <c r="K81" s="49">
        <f>218720+218720+218720+218720+218720+218720+218720+218720</f>
        <v>1749760</v>
      </c>
      <c r="L81" s="38"/>
      <c r="M81" s="12"/>
      <c r="N81" s="12"/>
      <c r="O81" s="12"/>
      <c r="P81" s="12"/>
    </row>
    <row r="82" spans="1:16" s="11" customFormat="1" ht="16.5" customHeight="1">
      <c r="A82" s="25">
        <v>14586280</v>
      </c>
      <c r="B82" s="40"/>
      <c r="C82" s="18">
        <f t="shared" si="5"/>
        <v>14586280</v>
      </c>
      <c r="D82" s="76">
        <f t="shared" si="6"/>
        <v>9668259</v>
      </c>
      <c r="E82" s="47" t="s">
        <v>182</v>
      </c>
      <c r="F82" s="37"/>
      <c r="G82" s="37"/>
      <c r="H82" s="37"/>
      <c r="I82" s="22" t="s">
        <v>253</v>
      </c>
      <c r="J82" s="34">
        <f>'ใบผ่านรายการ  2'!E9</f>
        <v>1048366</v>
      </c>
      <c r="K82" s="49">
        <f>1018336+1051560+1214979+1076080+1146710+1079890+1022238+1010100</f>
        <v>8619893</v>
      </c>
      <c r="L82" s="38"/>
      <c r="M82" s="12"/>
      <c r="N82" s="12"/>
      <c r="O82" s="12"/>
      <c r="P82" s="12"/>
    </row>
    <row r="83" spans="1:16" s="11" customFormat="1" ht="16.5" customHeight="1">
      <c r="A83" s="25">
        <v>777540</v>
      </c>
      <c r="B83" s="40"/>
      <c r="C83" s="18">
        <f t="shared" si="5"/>
        <v>777540</v>
      </c>
      <c r="D83" s="76">
        <f t="shared" si="6"/>
        <v>585030</v>
      </c>
      <c r="E83" s="47" t="s">
        <v>183</v>
      </c>
      <c r="F83" s="37"/>
      <c r="G83" s="37"/>
      <c r="H83" s="37"/>
      <c r="I83" s="22" t="s">
        <v>253</v>
      </c>
      <c r="J83" s="34">
        <f>'ใบผ่านรายการ  2'!E10</f>
        <v>68950</v>
      </c>
      <c r="K83" s="49">
        <f>64510+64510+64510+64510+64510+64510+64510+64510</f>
        <v>516080</v>
      </c>
      <c r="L83" s="38">
        <f>SUM(J82:J84)</f>
        <v>1485261</v>
      </c>
      <c r="M83" s="12"/>
      <c r="N83" s="12"/>
      <c r="O83" s="12"/>
      <c r="P83" s="12"/>
    </row>
    <row r="84" spans="1:16" s="11" customFormat="1" ht="16.5" customHeight="1">
      <c r="A84" s="50">
        <v>4553422</v>
      </c>
      <c r="B84" s="48"/>
      <c r="C84" s="18">
        <f t="shared" si="5"/>
        <v>4553422</v>
      </c>
      <c r="D84" s="76">
        <f t="shared" si="6"/>
        <v>3111505</v>
      </c>
      <c r="E84" s="47" t="s">
        <v>184</v>
      </c>
      <c r="F84" s="37"/>
      <c r="G84" s="37"/>
      <c r="H84" s="37"/>
      <c r="I84" s="22" t="s">
        <v>253</v>
      </c>
      <c r="J84" s="34">
        <f>'ใบผ่านรายการ  2'!E11</f>
        <v>367945</v>
      </c>
      <c r="K84" s="49">
        <f>267945+267945+367945+367945+367945+367945+367945+367945</f>
        <v>2743560</v>
      </c>
      <c r="L84" s="38"/>
      <c r="M84" s="12"/>
      <c r="N84" s="12"/>
      <c r="O84" s="12"/>
      <c r="P84" s="12"/>
    </row>
    <row r="85" spans="1:11" ht="16.5" customHeight="1">
      <c r="A85" s="25">
        <v>685000</v>
      </c>
      <c r="B85" s="18"/>
      <c r="C85" s="18">
        <f t="shared" si="5"/>
        <v>685000</v>
      </c>
      <c r="D85" s="76">
        <f t="shared" si="6"/>
        <v>301542.5</v>
      </c>
      <c r="E85" s="47" t="s">
        <v>0</v>
      </c>
      <c r="F85" s="37"/>
      <c r="G85" s="37"/>
      <c r="H85" s="37"/>
      <c r="I85" s="22" t="s">
        <v>194</v>
      </c>
      <c r="J85" s="34">
        <f>'ใบผ่านรายการ  2'!E12</f>
        <v>26600</v>
      </c>
      <c r="K85" s="49">
        <f>20450+34950+35250+56900+35400+24700+25812.5+41480</f>
        <v>274942.5</v>
      </c>
    </row>
    <row r="86" spans="1:13" ht="16.5" customHeight="1">
      <c r="A86" s="25">
        <v>8087742</v>
      </c>
      <c r="B86" s="18"/>
      <c r="C86" s="18">
        <f t="shared" si="5"/>
        <v>8087742</v>
      </c>
      <c r="D86" s="76">
        <f t="shared" si="6"/>
        <v>3826333.1</v>
      </c>
      <c r="E86" s="47" t="s">
        <v>1</v>
      </c>
      <c r="F86" s="37"/>
      <c r="G86" s="37"/>
      <c r="H86" s="37"/>
      <c r="I86" s="22" t="s">
        <v>188</v>
      </c>
      <c r="J86" s="34">
        <f>'ใบผ่านรายการ  2'!E14</f>
        <v>185071.11</v>
      </c>
      <c r="K86" s="49">
        <f>1500+1312589.9+170795.94+685501.7+74328.08+148595.68+95691.1+1152259.59</f>
        <v>3641261.99</v>
      </c>
      <c r="L86" s="409">
        <f>SUM(J80:J92)</f>
        <v>2408855.13</v>
      </c>
      <c r="M86" s="409">
        <f>L86+L87</f>
        <v>24755017.78</v>
      </c>
    </row>
    <row r="87" spans="1:12" ht="16.5" customHeight="1">
      <c r="A87" s="25">
        <v>3102200</v>
      </c>
      <c r="B87" s="18"/>
      <c r="C87" s="18">
        <f>A87</f>
        <v>3102200</v>
      </c>
      <c r="D87" s="76">
        <f t="shared" si="6"/>
        <v>1248711.49</v>
      </c>
      <c r="E87" s="47" t="s">
        <v>2</v>
      </c>
      <c r="F87" s="37"/>
      <c r="G87" s="37"/>
      <c r="H87" s="37"/>
      <c r="I87" s="22" t="s">
        <v>255</v>
      </c>
      <c r="J87" s="34">
        <f>'ใบผ่านรายการ  2'!E15</f>
        <v>34591.76</v>
      </c>
      <c r="K87" s="49">
        <f>90797+105657.59+48600.81+72831.44+408424.7+116717.8+371090.39</f>
        <v>1214119.73</v>
      </c>
      <c r="L87" s="409">
        <f>SUM(K80:K92)</f>
        <v>22346162.650000002</v>
      </c>
    </row>
    <row r="88" spans="1:13" ht="16.5" customHeight="1">
      <c r="A88" s="25">
        <v>650000</v>
      </c>
      <c r="B88" s="18"/>
      <c r="C88" s="18">
        <f t="shared" si="5"/>
        <v>650000</v>
      </c>
      <c r="D88" s="76">
        <f t="shared" si="6"/>
        <v>379372.51999999996</v>
      </c>
      <c r="E88" s="47" t="s">
        <v>3</v>
      </c>
      <c r="F88" s="37"/>
      <c r="G88" s="37"/>
      <c r="H88" s="37"/>
      <c r="I88" s="22" t="s">
        <v>254</v>
      </c>
      <c r="J88" s="34">
        <f>'ใบผ่านรายการ  2'!E16</f>
        <v>51621.51</v>
      </c>
      <c r="K88" s="49">
        <f>2776.75+55804.19+43589.3+45610.63+39994.36+42541.23+51948.45+45486.1</f>
        <v>327751.00999999995</v>
      </c>
      <c r="L88" s="409"/>
      <c r="M88" s="409">
        <f>D82+D83+D84</f>
        <v>13364794</v>
      </c>
    </row>
    <row r="89" spans="1:11" ht="16.5" customHeight="1">
      <c r="A89" s="25">
        <v>414700</v>
      </c>
      <c r="B89" s="18"/>
      <c r="C89" s="18">
        <f t="shared" si="5"/>
        <v>414700</v>
      </c>
      <c r="D89" s="76">
        <f t="shared" si="6"/>
        <v>25050</v>
      </c>
      <c r="E89" s="47" t="s">
        <v>80</v>
      </c>
      <c r="F89" s="37"/>
      <c r="G89" s="37"/>
      <c r="H89" s="37"/>
      <c r="I89" s="22" t="s">
        <v>196</v>
      </c>
      <c r="J89" s="34">
        <f>กระดาษทำการ!I28</f>
        <v>0</v>
      </c>
      <c r="K89" s="49">
        <f>15000+10050</f>
        <v>25050</v>
      </c>
    </row>
    <row r="90" spans="1:11" ht="16.5" customHeight="1">
      <c r="A90" s="25">
        <v>5269000</v>
      </c>
      <c r="B90" s="18"/>
      <c r="C90" s="18">
        <f t="shared" si="5"/>
        <v>5269000</v>
      </c>
      <c r="D90" s="76">
        <f t="shared" si="6"/>
        <v>93900</v>
      </c>
      <c r="E90" s="47" t="s">
        <v>5</v>
      </c>
      <c r="F90" s="37"/>
      <c r="G90" s="37"/>
      <c r="H90" s="37"/>
      <c r="I90" s="22" t="s">
        <v>197</v>
      </c>
      <c r="J90" s="34">
        <f>กระดาษทำการ!I29</f>
        <v>93900</v>
      </c>
      <c r="K90" s="49">
        <v>0</v>
      </c>
    </row>
    <row r="91" spans="1:11" ht="16.5" customHeight="1">
      <c r="A91" s="50">
        <v>20000</v>
      </c>
      <c r="B91" s="32"/>
      <c r="C91" s="18">
        <f t="shared" si="5"/>
        <v>20000</v>
      </c>
      <c r="D91" s="76">
        <f t="shared" si="6"/>
        <v>0</v>
      </c>
      <c r="E91" s="47" t="s">
        <v>68</v>
      </c>
      <c r="F91" s="37"/>
      <c r="G91" s="37"/>
      <c r="H91" s="37"/>
      <c r="I91" s="22" t="s">
        <v>198</v>
      </c>
      <c r="J91" s="34">
        <f>กระดาษทำการ!K32</f>
        <v>0</v>
      </c>
      <c r="K91" s="49">
        <v>0</v>
      </c>
    </row>
    <row r="92" spans="1:11" ht="16.5" customHeight="1">
      <c r="A92" s="25">
        <v>1653600</v>
      </c>
      <c r="B92" s="18"/>
      <c r="C92" s="18">
        <f t="shared" si="5"/>
        <v>1653600</v>
      </c>
      <c r="D92" s="76">
        <f t="shared" si="6"/>
        <v>997180</v>
      </c>
      <c r="E92" s="47" t="s">
        <v>4</v>
      </c>
      <c r="F92" s="37"/>
      <c r="G92" s="37"/>
      <c r="H92" s="37"/>
      <c r="I92" s="22" t="s">
        <v>195</v>
      </c>
      <c r="J92" s="34">
        <f>'ใบผ่านรายการ  2'!E17</f>
        <v>246180</v>
      </c>
      <c r="K92" s="49">
        <f>200000+178000+373000</f>
        <v>751000</v>
      </c>
    </row>
    <row r="93" spans="1:13" ht="16.5" customHeight="1">
      <c r="A93" s="25"/>
      <c r="B93" s="18"/>
      <c r="C93" s="18">
        <f aca="true" t="shared" si="7" ref="C93:C114">D93</f>
        <v>0</v>
      </c>
      <c r="D93" s="76">
        <f t="shared" si="6"/>
        <v>0</v>
      </c>
      <c r="E93" s="791" t="s">
        <v>6</v>
      </c>
      <c r="F93" s="792"/>
      <c r="G93" s="792"/>
      <c r="H93" s="792"/>
      <c r="I93" s="22" t="s">
        <v>186</v>
      </c>
      <c r="J93" s="34">
        <v>0</v>
      </c>
      <c r="K93" s="49">
        <v>0</v>
      </c>
      <c r="M93" s="409">
        <f>D85+D106</f>
        <v>417542.5</v>
      </c>
    </row>
    <row r="94" spans="1:11" ht="16.5" customHeight="1">
      <c r="A94" s="25"/>
      <c r="B94" s="40"/>
      <c r="C94" s="18"/>
      <c r="D94" s="76">
        <f t="shared" si="6"/>
        <v>0</v>
      </c>
      <c r="E94" s="137" t="s">
        <v>361</v>
      </c>
      <c r="F94" s="137"/>
      <c r="G94" s="137"/>
      <c r="H94" s="137"/>
      <c r="I94" s="44" t="s">
        <v>252</v>
      </c>
      <c r="J94" s="34">
        <f>'ใบผ่านรายการ  2'!E31</f>
        <v>0</v>
      </c>
      <c r="K94" s="49">
        <v>0</v>
      </c>
    </row>
    <row r="95" spans="1:11" ht="16.5" customHeight="1">
      <c r="A95" s="25"/>
      <c r="B95" s="40"/>
      <c r="C95" s="18"/>
      <c r="D95" s="76">
        <f t="shared" si="6"/>
        <v>4444460</v>
      </c>
      <c r="E95" s="37" t="s">
        <v>55</v>
      </c>
      <c r="F95" s="37"/>
      <c r="H95" s="37"/>
      <c r="I95" s="44" t="s">
        <v>241</v>
      </c>
      <c r="J95" s="76">
        <f>'ใบผ่านรายการ  2'!E24</f>
        <v>473600</v>
      </c>
      <c r="K95" s="49">
        <f>489400+528600+474500+486700+506560+465300+496000+523800</f>
        <v>3970860</v>
      </c>
    </row>
    <row r="96" spans="1:11" ht="16.5" customHeight="1">
      <c r="A96" s="25"/>
      <c r="B96" s="40"/>
      <c r="C96" s="18"/>
      <c r="D96" s="76">
        <f t="shared" si="6"/>
        <v>0</v>
      </c>
      <c r="E96" s="37" t="s">
        <v>36</v>
      </c>
      <c r="F96" s="37"/>
      <c r="G96" s="37"/>
      <c r="H96" s="37"/>
      <c r="I96" s="44" t="s">
        <v>250</v>
      </c>
      <c r="J96" s="76">
        <f>'ใบผ่านรายการ  2'!E25</f>
        <v>0</v>
      </c>
      <c r="K96" s="49">
        <v>0</v>
      </c>
    </row>
    <row r="97" spans="1:11" ht="16.5" customHeight="1">
      <c r="A97" s="25"/>
      <c r="B97" s="40"/>
      <c r="C97" s="18"/>
      <c r="D97" s="76">
        <f t="shared" si="6"/>
        <v>0</v>
      </c>
      <c r="E97" s="791" t="s">
        <v>321</v>
      </c>
      <c r="F97" s="792"/>
      <c r="G97" s="792"/>
      <c r="H97" s="806"/>
      <c r="I97" s="44" t="s">
        <v>323</v>
      </c>
      <c r="J97" s="76">
        <f>'ใบผ่านรายการ  2'!E26</f>
        <v>0</v>
      </c>
      <c r="K97" s="49">
        <v>0</v>
      </c>
    </row>
    <row r="98" spans="1:12" ht="16.5" customHeight="1">
      <c r="A98" s="25"/>
      <c r="B98" s="40"/>
      <c r="C98" s="18"/>
      <c r="D98" s="76">
        <f t="shared" si="6"/>
        <v>1101923.7</v>
      </c>
      <c r="E98" s="37" t="s">
        <v>81</v>
      </c>
      <c r="F98" s="37"/>
      <c r="G98" s="37"/>
      <c r="H98" s="37"/>
      <c r="I98" s="44" t="s">
        <v>256</v>
      </c>
      <c r="J98" s="76">
        <f>'ใบผ่านรายการ  2'!E28</f>
        <v>0</v>
      </c>
      <c r="K98" s="49">
        <f>300550.1+801373.6</f>
        <v>1101923.7</v>
      </c>
      <c r="L98" s="409"/>
    </row>
    <row r="99" spans="1:11" ht="16.5" customHeight="1">
      <c r="A99" s="25"/>
      <c r="B99" s="40"/>
      <c r="C99" s="18"/>
      <c r="D99" s="76">
        <f t="shared" si="6"/>
        <v>0</v>
      </c>
      <c r="E99" s="37" t="s">
        <v>7</v>
      </c>
      <c r="F99" s="37"/>
      <c r="G99" s="37"/>
      <c r="H99" s="37"/>
      <c r="I99" s="44" t="s">
        <v>187</v>
      </c>
      <c r="J99" s="76">
        <f>'ใบผ่านรายการ  2'!E30</f>
        <v>0</v>
      </c>
      <c r="K99" s="49">
        <v>0</v>
      </c>
    </row>
    <row r="100" spans="1:11" ht="16.5" customHeight="1">
      <c r="A100" s="25"/>
      <c r="B100" s="40"/>
      <c r="C100" s="18"/>
      <c r="D100" s="76">
        <f t="shared" si="6"/>
        <v>406061.09</v>
      </c>
      <c r="E100" s="37" t="s">
        <v>91</v>
      </c>
      <c r="F100" s="37"/>
      <c r="G100" s="37"/>
      <c r="H100" s="37"/>
      <c r="I100" s="44" t="s">
        <v>199</v>
      </c>
      <c r="J100" s="76">
        <f>'ใบผ่านรายการ  2'!E44</f>
        <v>0</v>
      </c>
      <c r="K100" s="49">
        <v>406061.09</v>
      </c>
    </row>
    <row r="101" spans="1:11" ht="16.5" customHeight="1">
      <c r="A101" s="25"/>
      <c r="B101" s="40"/>
      <c r="C101" s="18"/>
      <c r="D101" s="76">
        <f t="shared" si="6"/>
        <v>433723.47</v>
      </c>
      <c r="E101" s="37" t="s">
        <v>16</v>
      </c>
      <c r="F101" s="37"/>
      <c r="G101" s="37"/>
      <c r="H101" s="37"/>
      <c r="I101" s="22" t="s">
        <v>257</v>
      </c>
      <c r="J101" s="76">
        <f>'ใบผ่านรายการ  2'!G46</f>
        <v>57307.81</v>
      </c>
      <c r="K101" s="49">
        <f>46495.29+34435.76+28577.84+45254+122547.96+50039.66+26746.1+22319.05</f>
        <v>376415.66</v>
      </c>
    </row>
    <row r="102" spans="1:11" ht="16.5" customHeight="1">
      <c r="A102" s="25"/>
      <c r="B102" s="40"/>
      <c r="C102" s="18">
        <f t="shared" si="7"/>
        <v>0</v>
      </c>
      <c r="D102" s="76">
        <f t="shared" si="6"/>
        <v>0</v>
      </c>
      <c r="E102" s="47" t="s">
        <v>116</v>
      </c>
      <c r="F102" s="51"/>
      <c r="G102" s="51"/>
      <c r="H102" s="51"/>
      <c r="I102" s="52"/>
      <c r="J102" s="34">
        <v>0</v>
      </c>
      <c r="K102" s="49">
        <v>0</v>
      </c>
    </row>
    <row r="103" spans="1:11" ht="16.5" customHeight="1">
      <c r="A103" s="25"/>
      <c r="B103" s="40">
        <f>C103</f>
        <v>0</v>
      </c>
      <c r="C103" s="18">
        <f t="shared" si="7"/>
        <v>0</v>
      </c>
      <c r="D103" s="76">
        <f t="shared" si="6"/>
        <v>0</v>
      </c>
      <c r="E103" s="763" t="s">
        <v>214</v>
      </c>
      <c r="F103" s="764"/>
      <c r="G103" s="764"/>
      <c r="H103" s="764"/>
      <c r="I103" s="81" t="s">
        <v>269</v>
      </c>
      <c r="J103" s="34"/>
      <c r="K103" s="49">
        <v>0</v>
      </c>
    </row>
    <row r="104" spans="1:11" ht="16.5" customHeight="1">
      <c r="A104" s="25"/>
      <c r="B104" s="40">
        <f aca="true" t="shared" si="8" ref="B104:B114">C104</f>
        <v>71669.25</v>
      </c>
      <c r="C104" s="18">
        <f t="shared" si="7"/>
        <v>71669.25</v>
      </c>
      <c r="D104" s="76">
        <f t="shared" si="6"/>
        <v>71669.25</v>
      </c>
      <c r="E104" s="763" t="s">
        <v>208</v>
      </c>
      <c r="F104" s="764"/>
      <c r="G104" s="764"/>
      <c r="H104" s="764"/>
      <c r="I104" s="81" t="s">
        <v>270</v>
      </c>
      <c r="J104" s="34">
        <f>'ใบผ่านรายการ  2'!E7</f>
        <v>7963.25</v>
      </c>
      <c r="K104" s="49">
        <f>15926.5+7963.25+7963.25+7963.25+7963.25+7963.25+7963.25</f>
        <v>63706</v>
      </c>
    </row>
    <row r="105" spans="1:11" ht="24" customHeight="1" hidden="1">
      <c r="A105" s="25"/>
      <c r="B105" s="40">
        <f t="shared" si="8"/>
        <v>0</v>
      </c>
      <c r="C105" s="18">
        <f t="shared" si="7"/>
        <v>0</v>
      </c>
      <c r="D105" s="76">
        <f t="shared" si="6"/>
        <v>0</v>
      </c>
      <c r="E105" s="763" t="s">
        <v>271</v>
      </c>
      <c r="F105" s="764"/>
      <c r="G105" s="764"/>
      <c r="H105" s="764"/>
      <c r="I105" s="81" t="s">
        <v>272</v>
      </c>
      <c r="J105" s="34">
        <v>0</v>
      </c>
      <c r="K105" s="49">
        <v>0</v>
      </c>
    </row>
    <row r="106" spans="1:11" ht="16.5" customHeight="1">
      <c r="A106" s="25"/>
      <c r="B106" s="40">
        <f>C106</f>
        <v>116000</v>
      </c>
      <c r="C106" s="18">
        <f>D106</f>
        <v>116000</v>
      </c>
      <c r="D106" s="76">
        <f>J106+K106</f>
        <v>116000</v>
      </c>
      <c r="E106" s="763" t="s">
        <v>486</v>
      </c>
      <c r="F106" s="764"/>
      <c r="G106" s="764"/>
      <c r="H106" s="764"/>
      <c r="I106" s="81" t="s">
        <v>270</v>
      </c>
      <c r="J106" s="34">
        <f>'ใบผ่านรายการ  2'!E13</f>
        <v>9000</v>
      </c>
      <c r="K106" s="49">
        <f>29000+29000+14500+25500+9000</f>
        <v>107000</v>
      </c>
    </row>
    <row r="107" spans="1:11" ht="16.5" customHeight="1">
      <c r="A107" s="25"/>
      <c r="B107" s="40">
        <f t="shared" si="8"/>
        <v>0</v>
      </c>
      <c r="C107" s="18">
        <f t="shared" si="7"/>
        <v>0</v>
      </c>
      <c r="D107" s="76">
        <f t="shared" si="6"/>
        <v>0</v>
      </c>
      <c r="E107" s="763" t="s">
        <v>324</v>
      </c>
      <c r="F107" s="764"/>
      <c r="G107" s="764"/>
      <c r="H107" s="764"/>
      <c r="I107" s="81" t="s">
        <v>272</v>
      </c>
      <c r="J107" s="34">
        <v>0</v>
      </c>
      <c r="K107" s="49">
        <v>0</v>
      </c>
    </row>
    <row r="108" spans="1:13" ht="16.5" customHeight="1">
      <c r="A108" s="25"/>
      <c r="B108" s="40">
        <f t="shared" si="8"/>
        <v>0</v>
      </c>
      <c r="C108" s="18">
        <f t="shared" si="7"/>
        <v>0</v>
      </c>
      <c r="D108" s="76">
        <f t="shared" si="6"/>
        <v>0</v>
      </c>
      <c r="E108" s="763" t="s">
        <v>213</v>
      </c>
      <c r="F108" s="764"/>
      <c r="G108" s="764"/>
      <c r="H108" s="764"/>
      <c r="I108" s="81" t="s">
        <v>272</v>
      </c>
      <c r="J108" s="34">
        <v>0</v>
      </c>
      <c r="K108" s="49">
        <v>0</v>
      </c>
      <c r="L108" s="409">
        <f>SUM(J103:J112)</f>
        <v>16963.25</v>
      </c>
      <c r="M108" s="409">
        <f>SUM(K103:K111)</f>
        <v>177506</v>
      </c>
    </row>
    <row r="109" spans="1:13" ht="16.5" customHeight="1">
      <c r="A109" s="25"/>
      <c r="B109" s="40">
        <f t="shared" si="8"/>
        <v>6800</v>
      </c>
      <c r="C109" s="18">
        <f t="shared" si="7"/>
        <v>6800</v>
      </c>
      <c r="D109" s="76">
        <f t="shared" si="6"/>
        <v>6800</v>
      </c>
      <c r="E109" s="763" t="s">
        <v>299</v>
      </c>
      <c r="F109" s="764"/>
      <c r="G109" s="764"/>
      <c r="H109" s="764"/>
      <c r="I109" s="81" t="s">
        <v>272</v>
      </c>
      <c r="J109" s="34">
        <v>0</v>
      </c>
      <c r="K109" s="49">
        <f>2400+4400</f>
        <v>6800</v>
      </c>
      <c r="M109" s="409"/>
    </row>
    <row r="110" spans="1:13" ht="16.5" customHeight="1" hidden="1">
      <c r="A110" s="25"/>
      <c r="B110" s="40">
        <f t="shared" si="8"/>
        <v>0</v>
      </c>
      <c r="C110" s="18">
        <f t="shared" si="7"/>
        <v>0</v>
      </c>
      <c r="D110" s="76">
        <f t="shared" si="6"/>
        <v>0</v>
      </c>
      <c r="E110" s="786" t="s">
        <v>313</v>
      </c>
      <c r="F110" s="787"/>
      <c r="G110" s="787"/>
      <c r="H110" s="788"/>
      <c r="I110" s="81" t="s">
        <v>273</v>
      </c>
      <c r="J110" s="34"/>
      <c r="K110" s="49">
        <v>0</v>
      </c>
      <c r="M110" s="409"/>
    </row>
    <row r="111" spans="1:13" ht="16.5" customHeight="1" hidden="1">
      <c r="A111" s="25"/>
      <c r="B111" s="40">
        <f t="shared" si="8"/>
        <v>0</v>
      </c>
      <c r="C111" s="18">
        <f t="shared" si="7"/>
        <v>0</v>
      </c>
      <c r="D111" s="76">
        <f t="shared" si="6"/>
        <v>0</v>
      </c>
      <c r="E111" s="786" t="s">
        <v>372</v>
      </c>
      <c r="F111" s="787"/>
      <c r="G111" s="787"/>
      <c r="H111" s="788"/>
      <c r="I111" s="81" t="s">
        <v>272</v>
      </c>
      <c r="J111" s="34"/>
      <c r="K111" s="49">
        <v>0</v>
      </c>
      <c r="M111" s="409"/>
    </row>
    <row r="112" spans="1:11" ht="16.5" customHeight="1" hidden="1">
      <c r="A112" s="25"/>
      <c r="B112" s="40">
        <f t="shared" si="8"/>
        <v>0</v>
      </c>
      <c r="C112" s="18">
        <f t="shared" si="7"/>
        <v>0</v>
      </c>
      <c r="D112" s="76">
        <f t="shared" si="6"/>
        <v>0</v>
      </c>
      <c r="E112" s="786" t="s">
        <v>373</v>
      </c>
      <c r="F112" s="787"/>
      <c r="G112" s="787"/>
      <c r="H112" s="788"/>
      <c r="I112" s="81" t="s">
        <v>251</v>
      </c>
      <c r="J112" s="34"/>
      <c r="K112" s="49">
        <v>0</v>
      </c>
    </row>
    <row r="113" spans="1:11" ht="16.5" customHeight="1" hidden="1">
      <c r="A113" s="25"/>
      <c r="B113" s="40">
        <f t="shared" si="8"/>
        <v>0</v>
      </c>
      <c r="C113" s="18">
        <f t="shared" si="7"/>
        <v>0</v>
      </c>
      <c r="D113" s="76">
        <f t="shared" si="6"/>
        <v>0</v>
      </c>
      <c r="E113" s="786" t="s">
        <v>386</v>
      </c>
      <c r="F113" s="787"/>
      <c r="G113" s="787"/>
      <c r="H113" s="788"/>
      <c r="I113" s="81" t="s">
        <v>251</v>
      </c>
      <c r="J113" s="34"/>
      <c r="K113" s="49">
        <v>0</v>
      </c>
    </row>
    <row r="114" spans="1:11" ht="17.25" hidden="1">
      <c r="A114" s="25"/>
      <c r="B114" s="40">
        <f t="shared" si="8"/>
        <v>0</v>
      </c>
      <c r="C114" s="18">
        <f t="shared" si="7"/>
        <v>0</v>
      </c>
      <c r="D114" s="76">
        <f t="shared" si="6"/>
        <v>0</v>
      </c>
      <c r="E114" s="30" t="s">
        <v>355</v>
      </c>
      <c r="F114" s="30"/>
      <c r="G114" s="30"/>
      <c r="H114" s="30"/>
      <c r="I114" s="81" t="s">
        <v>251</v>
      </c>
      <c r="J114" s="34">
        <v>0</v>
      </c>
      <c r="K114" s="49">
        <v>0</v>
      </c>
    </row>
    <row r="115" spans="1:11" ht="17.25" hidden="1">
      <c r="A115" s="25"/>
      <c r="B115" s="40"/>
      <c r="C115" s="40"/>
      <c r="D115" s="76">
        <f t="shared" si="6"/>
        <v>0</v>
      </c>
      <c r="E115" s="126" t="s">
        <v>297</v>
      </c>
      <c r="F115" s="30"/>
      <c r="G115" s="30"/>
      <c r="H115" s="30"/>
      <c r="I115" s="81" t="s">
        <v>251</v>
      </c>
      <c r="J115" s="34">
        <v>0</v>
      </c>
      <c r="K115" s="31">
        <v>0</v>
      </c>
    </row>
    <row r="116" spans="1:11" ht="17.25" hidden="1">
      <c r="A116" s="25"/>
      <c r="B116" s="40"/>
      <c r="C116" s="40"/>
      <c r="D116" s="76">
        <f t="shared" si="6"/>
        <v>0</v>
      </c>
      <c r="E116" s="30" t="s">
        <v>298</v>
      </c>
      <c r="F116" s="30"/>
      <c r="G116" s="30"/>
      <c r="H116" s="30"/>
      <c r="I116" s="81" t="s">
        <v>251</v>
      </c>
      <c r="J116" s="34">
        <v>0</v>
      </c>
      <c r="K116" s="31">
        <v>0</v>
      </c>
    </row>
    <row r="117" spans="1:11" ht="17.25">
      <c r="A117" s="71">
        <f>SUM(A80:A114)</f>
        <v>53000000</v>
      </c>
      <c r="B117" s="71">
        <f>SUM(B80:B114)</f>
        <v>194469.25</v>
      </c>
      <c r="C117" s="71">
        <f>SUM(C80:C114)</f>
        <v>53194469.25</v>
      </c>
      <c r="D117" s="77">
        <f>SUM(D80:D116)</f>
        <v>31335655.29</v>
      </c>
      <c r="E117" s="66"/>
      <c r="F117" s="784" t="s">
        <v>69</v>
      </c>
      <c r="G117" s="784"/>
      <c r="H117" s="67"/>
      <c r="I117" s="131"/>
      <c r="J117" s="77">
        <f>SUM(J80:J116)</f>
        <v>2956726.19</v>
      </c>
      <c r="K117" s="41">
        <f>SUM(K80:K116)</f>
        <v>28378929.1</v>
      </c>
    </row>
    <row r="118" spans="1:11" ht="16.5" customHeight="1" thickBot="1">
      <c r="A118" s="72"/>
      <c r="B118" s="73"/>
      <c r="C118" s="73"/>
      <c r="D118" s="68">
        <f>D71-D117</f>
        <v>6008885.640000001</v>
      </c>
      <c r="E118" s="62"/>
      <c r="F118" s="785" t="s">
        <v>265</v>
      </c>
      <c r="G118" s="785"/>
      <c r="H118" s="51"/>
      <c r="I118" s="63"/>
      <c r="J118" s="68">
        <f>J71-J117</f>
        <v>-1078298.23</v>
      </c>
      <c r="K118" s="64">
        <f>SUM(K71-K117)</f>
        <v>7087183.869999997</v>
      </c>
    </row>
    <row r="119" spans="1:11" ht="16.5" customHeight="1" thickTop="1">
      <c r="A119" s="39"/>
      <c r="B119" s="38"/>
      <c r="C119" s="38" t="s">
        <v>34</v>
      </c>
      <c r="D119" s="18"/>
      <c r="E119" s="53" t="s">
        <v>88</v>
      </c>
      <c r="F119" s="51"/>
      <c r="G119" s="51"/>
      <c r="H119" s="51"/>
      <c r="I119" s="53" t="s">
        <v>67</v>
      </c>
      <c r="J119" s="18"/>
      <c r="K119" s="794"/>
    </row>
    <row r="120" spans="1:11" ht="16.5" customHeight="1">
      <c r="A120" s="11" t="s">
        <v>469</v>
      </c>
      <c r="B120" s="38"/>
      <c r="C120" s="38"/>
      <c r="D120" s="18"/>
      <c r="E120" s="78"/>
      <c r="F120" s="785" t="s">
        <v>266</v>
      </c>
      <c r="G120" s="785"/>
      <c r="H120" s="51"/>
      <c r="I120" s="63"/>
      <c r="J120" s="18"/>
      <c r="K120" s="795"/>
    </row>
    <row r="121" spans="1:11" ht="18" thickBot="1">
      <c r="A121" s="11" t="s">
        <v>470</v>
      </c>
      <c r="D121" s="42">
        <f>D9+D118</f>
        <v>40405727.3</v>
      </c>
      <c r="E121" s="78"/>
      <c r="F121" s="783" t="s">
        <v>268</v>
      </c>
      <c r="G121" s="783"/>
      <c r="H121" s="783"/>
      <c r="I121" s="63"/>
      <c r="J121" s="42">
        <f>J9+J118</f>
        <v>40405727.300000004</v>
      </c>
      <c r="K121" s="54"/>
    </row>
    <row r="122" spans="1:10" ht="18" hidden="1" thickTop="1">
      <c r="A122" s="39"/>
      <c r="B122" s="38"/>
      <c r="C122" s="38"/>
      <c r="D122" s="55">
        <f>J122</f>
        <v>40405727.3</v>
      </c>
      <c r="E122" s="53"/>
      <c r="F122" s="53"/>
      <c r="G122" s="53"/>
      <c r="H122" s="53"/>
      <c r="I122" s="53"/>
      <c r="J122" s="56">
        <f>'งบทดลอง '!E8</f>
        <v>40405727.3</v>
      </c>
    </row>
    <row r="123" spans="4:11" ht="17.25" hidden="1">
      <c r="D123" s="57">
        <f>D122-D121</f>
        <v>0</v>
      </c>
      <c r="G123" s="11" t="s">
        <v>154</v>
      </c>
      <c r="J123" s="58">
        <f>J122-J121</f>
        <v>0</v>
      </c>
      <c r="K123" s="4">
        <f>'งบทดลอง '!E8</f>
        <v>40405727.3</v>
      </c>
    </row>
    <row r="124" spans="7:11" ht="17.25" hidden="1">
      <c r="G124" s="12"/>
      <c r="J124" s="59">
        <f>J121-D121</f>
        <v>0</v>
      </c>
      <c r="K124" s="4">
        <f>J123+K123</f>
        <v>40405727.3</v>
      </c>
    </row>
    <row r="125" spans="7:10" ht="17.25" hidden="1">
      <c r="G125" s="12"/>
      <c r="J125" s="59"/>
    </row>
    <row r="126" spans="7:10" ht="17.25" hidden="1">
      <c r="G126" s="12"/>
      <c r="J126" s="59"/>
    </row>
    <row r="127" spans="7:10" ht="17.25" hidden="1">
      <c r="G127" s="12"/>
      <c r="J127" s="59"/>
    </row>
    <row r="128" spans="7:10" ht="17.25" hidden="1">
      <c r="G128" s="12"/>
      <c r="J128" s="59"/>
    </row>
    <row r="129" spans="7:10" ht="17.25" hidden="1">
      <c r="G129" s="12"/>
      <c r="J129" s="59"/>
    </row>
    <row r="130" spans="7:10" ht="17.25" hidden="1">
      <c r="G130" s="12"/>
      <c r="J130" s="59"/>
    </row>
    <row r="131" spans="7:10" ht="17.25" hidden="1">
      <c r="G131" s="12"/>
      <c r="J131" s="59"/>
    </row>
    <row r="132" spans="7:10" ht="18" thickTop="1">
      <c r="G132" s="12"/>
      <c r="J132" s="59"/>
    </row>
    <row r="133" spans="1:10" ht="17.25">
      <c r="A133" s="782" t="s">
        <v>382</v>
      </c>
      <c r="B133" s="782"/>
      <c r="C133" s="782"/>
      <c r="D133" s="782" t="s">
        <v>554</v>
      </c>
      <c r="E133" s="782"/>
      <c r="F133" s="782"/>
      <c r="G133" s="789" t="s">
        <v>382</v>
      </c>
      <c r="H133" s="789"/>
      <c r="I133" s="789"/>
      <c r="J133" s="789"/>
    </row>
    <row r="134" spans="1:10" ht="15.75" customHeight="1">
      <c r="A134" s="782" t="s">
        <v>562</v>
      </c>
      <c r="B134" s="782"/>
      <c r="C134" s="782"/>
      <c r="D134" s="782" t="s">
        <v>555</v>
      </c>
      <c r="E134" s="782"/>
      <c r="F134" s="782"/>
      <c r="G134" s="789" t="s">
        <v>381</v>
      </c>
      <c r="H134" s="789"/>
      <c r="I134" s="789"/>
      <c r="J134" s="789"/>
    </row>
    <row r="135" spans="1:12" ht="17.25" customHeight="1">
      <c r="A135" s="11" t="s">
        <v>567</v>
      </c>
      <c r="B135" s="11"/>
      <c r="C135" s="11"/>
      <c r="D135" s="782" t="s">
        <v>556</v>
      </c>
      <c r="E135" s="782"/>
      <c r="F135" s="782"/>
      <c r="G135" s="789" t="s">
        <v>380</v>
      </c>
      <c r="H135" s="789"/>
      <c r="I135" s="789"/>
      <c r="J135" s="789"/>
      <c r="K135" s="521"/>
      <c r="L135" s="521"/>
    </row>
    <row r="136" spans="1:12" ht="17.25" customHeight="1">
      <c r="A136" s="782"/>
      <c r="B136" s="782"/>
      <c r="C136" s="782"/>
      <c r="D136" s="782"/>
      <c r="E136" s="782"/>
      <c r="F136" s="782"/>
      <c r="G136" s="782"/>
      <c r="H136" s="782"/>
      <c r="I136" s="782"/>
      <c r="J136" s="782"/>
      <c r="K136" s="521"/>
      <c r="L136" s="521"/>
    </row>
    <row r="137" spans="2:11" ht="20.25" customHeight="1">
      <c r="B137" s="11"/>
      <c r="C137" s="11"/>
      <c r="D137" s="11"/>
      <c r="F137" s="793"/>
      <c r="G137" s="793"/>
      <c r="H137" s="793"/>
      <c r="I137" s="782"/>
      <c r="J137" s="782"/>
      <c r="K137" s="5"/>
    </row>
    <row r="138" spans="1:11" ht="19.5" customHeight="1">
      <c r="A138" s="782"/>
      <c r="B138" s="782"/>
      <c r="C138" s="782"/>
      <c r="D138" s="782"/>
      <c r="F138" s="793"/>
      <c r="G138" s="793"/>
      <c r="H138" s="793"/>
      <c r="I138" s="793"/>
      <c r="J138" s="793"/>
      <c r="K138" s="6"/>
    </row>
    <row r="139" spans="9:11" ht="19.5" customHeight="1">
      <c r="I139" s="805"/>
      <c r="J139" s="805"/>
      <c r="K139" s="7"/>
    </row>
    <row r="140" ht="19.5" customHeight="1">
      <c r="K140" s="7"/>
    </row>
    <row r="141" spans="9:10" ht="17.25">
      <c r="I141" s="521"/>
      <c r="J141" s="521"/>
    </row>
    <row r="142" spans="9:10" ht="17.25">
      <c r="I142" s="521"/>
      <c r="J142" s="521"/>
    </row>
    <row r="143" spans="9:10" ht="17.25">
      <c r="I143" s="782"/>
      <c r="J143" s="782"/>
    </row>
    <row r="144" spans="10:11" ht="17.25">
      <c r="J144" s="4"/>
      <c r="K144" s="408"/>
    </row>
  </sheetData>
  <sheetProtection/>
  <mergeCells count="73">
    <mergeCell ref="I143:J143"/>
    <mergeCell ref="F137:H137"/>
    <mergeCell ref="I139:J139"/>
    <mergeCell ref="E97:H97"/>
    <mergeCell ref="E110:H110"/>
    <mergeCell ref="E40:H40"/>
    <mergeCell ref="E71:H71"/>
    <mergeCell ref="E59:H59"/>
    <mergeCell ref="D133:F133"/>
    <mergeCell ref="E108:H108"/>
    <mergeCell ref="E105:H105"/>
    <mergeCell ref="E50:H50"/>
    <mergeCell ref="A3:J3"/>
    <mergeCell ref="I75:I78"/>
    <mergeCell ref="E35:H35"/>
    <mergeCell ref="E36:H36"/>
    <mergeCell ref="E37:H37"/>
    <mergeCell ref="E39:H39"/>
    <mergeCell ref="E38:H38"/>
    <mergeCell ref="A75:D75"/>
    <mergeCell ref="I5:I8"/>
    <mergeCell ref="A1:J1"/>
    <mergeCell ref="A5:D5"/>
    <mergeCell ref="E5:H8"/>
    <mergeCell ref="A2:J2"/>
    <mergeCell ref="A4:J4"/>
    <mergeCell ref="A138:D138"/>
    <mergeCell ref="F138:H138"/>
    <mergeCell ref="I138:J138"/>
    <mergeCell ref="G136:J136"/>
    <mergeCell ref="A133:C133"/>
    <mergeCell ref="K119:K120"/>
    <mergeCell ref="F120:G120"/>
    <mergeCell ref="G134:J134"/>
    <mergeCell ref="A136:C136"/>
    <mergeCell ref="D135:F135"/>
    <mergeCell ref="A134:C134"/>
    <mergeCell ref="D134:F134"/>
    <mergeCell ref="D136:F136"/>
    <mergeCell ref="G135:J135"/>
    <mergeCell ref="E113:H113"/>
    <mergeCell ref="E48:H48"/>
    <mergeCell ref="E49:H49"/>
    <mergeCell ref="A74:J74"/>
    <mergeCell ref="E103:H103"/>
    <mergeCell ref="E93:H93"/>
    <mergeCell ref="I137:J137"/>
    <mergeCell ref="F121:H121"/>
    <mergeCell ref="F117:G117"/>
    <mergeCell ref="F118:G118"/>
    <mergeCell ref="E106:H106"/>
    <mergeCell ref="E111:H111"/>
    <mergeCell ref="E107:H107"/>
    <mergeCell ref="G133:J133"/>
    <mergeCell ref="E109:H109"/>
    <mergeCell ref="E112:H112"/>
    <mergeCell ref="E25:H25"/>
    <mergeCell ref="E29:H29"/>
    <mergeCell ref="E30:H30"/>
    <mergeCell ref="E32:H32"/>
    <mergeCell ref="E31:H31"/>
    <mergeCell ref="E45:H45"/>
    <mergeCell ref="E34:H34"/>
    <mergeCell ref="E33:H33"/>
    <mergeCell ref="E44:H44"/>
    <mergeCell ref="E46:H46"/>
    <mergeCell ref="E47:H47"/>
    <mergeCell ref="E104:H104"/>
    <mergeCell ref="E51:H51"/>
    <mergeCell ref="E52:H52"/>
    <mergeCell ref="K75:K78"/>
    <mergeCell ref="E75:H78"/>
    <mergeCell ref="E56:H56"/>
  </mergeCells>
  <printOptions/>
  <pageMargins left="0.35433070866141736" right="0.35433070866141736" top="0.2755905511811024" bottom="0.15748031496062992" header="0.2755905511811024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">
      <selection activeCell="E44" sqref="E44"/>
    </sheetView>
  </sheetViews>
  <sheetFormatPr defaultColWidth="9.140625" defaultRowHeight="21.75"/>
  <cols>
    <col min="1" max="1" width="9.57421875" style="431" customWidth="1"/>
    <col min="2" max="2" width="46.7109375" style="431" customWidth="1"/>
    <col min="3" max="4" width="20.57421875" style="431" customWidth="1"/>
    <col min="5" max="5" width="18.28125" style="411" customWidth="1"/>
    <col min="6" max="16384" width="9.140625" style="412" customWidth="1"/>
  </cols>
  <sheetData>
    <row r="1" spans="1:4" ht="19.5" customHeight="1">
      <c r="A1" s="702" t="s">
        <v>15</v>
      </c>
      <c r="B1" s="702"/>
      <c r="C1" s="702"/>
      <c r="D1" s="702"/>
    </row>
    <row r="2" spans="1:4" ht="19.5" customHeight="1">
      <c r="A2" s="702" t="s">
        <v>56</v>
      </c>
      <c r="B2" s="702"/>
      <c r="C2" s="702"/>
      <c r="D2" s="702"/>
    </row>
    <row r="3" spans="1:5" ht="19.5" customHeight="1">
      <c r="A3" s="759" t="s">
        <v>699</v>
      </c>
      <c r="B3" s="759"/>
      <c r="C3" s="759"/>
      <c r="D3" s="759"/>
      <c r="E3" s="413"/>
    </row>
    <row r="4" spans="1:5" ht="19.5" customHeight="1">
      <c r="A4" s="414"/>
      <c r="B4" s="415" t="s">
        <v>52</v>
      </c>
      <c r="C4" s="416" t="s">
        <v>27</v>
      </c>
      <c r="D4" s="416" t="s">
        <v>57</v>
      </c>
      <c r="E4" s="417" t="s">
        <v>176</v>
      </c>
    </row>
    <row r="5" spans="1:5" ht="19.5" customHeight="1">
      <c r="A5" s="418" t="s">
        <v>88</v>
      </c>
      <c r="B5" s="1"/>
      <c r="C5" s="402"/>
      <c r="D5" s="603"/>
      <c r="E5" s="600"/>
    </row>
    <row r="6" spans="1:5" ht="19.5" customHeight="1">
      <c r="A6" s="419"/>
      <c r="B6" s="1" t="s">
        <v>58</v>
      </c>
      <c r="C6" s="420">
        <f>ใบผ่านรายการ3!E6</f>
        <v>1849855.72</v>
      </c>
      <c r="D6" s="604">
        <f>E6+C6</f>
        <v>36973142.81999999</v>
      </c>
      <c r="E6" s="601">
        <f>57532+9001083.1+10246548.7+4364934.58+535789.63+2952576.44+5492661.22+2472161.43</f>
        <v>35123287.099999994</v>
      </c>
    </row>
    <row r="7" spans="1:5" ht="19.5" customHeight="1">
      <c r="A7" s="419"/>
      <c r="B7" s="1" t="s">
        <v>59</v>
      </c>
      <c r="C7" s="420">
        <f>'รับ-จ่าย  (2)'!J61</f>
        <v>27772.239999999998</v>
      </c>
      <c r="D7" s="604">
        <f aca="true" t="shared" si="0" ref="D7:D31">E7+C7</f>
        <v>343298.11</v>
      </c>
      <c r="E7" s="601">
        <f>18535.76+29117.84+22044+22731.96+122625.66+23866.1+48802.6+27801.95</f>
        <v>315525.87</v>
      </c>
    </row>
    <row r="8" spans="1:5" ht="19.5" customHeight="1">
      <c r="A8" s="419"/>
      <c r="B8" s="1" t="s">
        <v>104</v>
      </c>
      <c r="C8" s="420">
        <v>0</v>
      </c>
      <c r="D8" s="604">
        <f t="shared" si="0"/>
        <v>0</v>
      </c>
      <c r="E8" s="601">
        <v>0</v>
      </c>
    </row>
    <row r="9" spans="1:5" ht="19.5" customHeight="1">
      <c r="A9" s="419"/>
      <c r="B9" s="1" t="s">
        <v>243</v>
      </c>
      <c r="C9" s="420">
        <f>'รับ-จ่าย  (2)'!J20</f>
        <v>0</v>
      </c>
      <c r="D9" s="604">
        <f t="shared" si="0"/>
        <v>0</v>
      </c>
      <c r="E9" s="601">
        <v>0</v>
      </c>
    </row>
    <row r="10" spans="1:5" ht="19.5" customHeight="1">
      <c r="A10" s="419"/>
      <c r="B10" s="1" t="s">
        <v>315</v>
      </c>
      <c r="C10" s="420">
        <f>'รับ-จ่าย  (2)'!J21</f>
        <v>0</v>
      </c>
      <c r="D10" s="604">
        <f t="shared" si="0"/>
        <v>0</v>
      </c>
      <c r="E10" s="601">
        <v>0</v>
      </c>
    </row>
    <row r="11" spans="1:5" ht="19.5" customHeight="1">
      <c r="A11" s="419"/>
      <c r="B11" s="1" t="s">
        <v>217</v>
      </c>
      <c r="C11" s="420">
        <v>0</v>
      </c>
      <c r="D11" s="604">
        <f t="shared" si="0"/>
        <v>0</v>
      </c>
      <c r="E11" s="601">
        <v>0</v>
      </c>
    </row>
    <row r="12" spans="1:5" ht="19.5" customHeight="1">
      <c r="A12" s="419"/>
      <c r="B12" s="1" t="s">
        <v>112</v>
      </c>
      <c r="C12" s="420"/>
      <c r="D12" s="604">
        <f t="shared" si="0"/>
        <v>0</v>
      </c>
      <c r="E12" s="601">
        <v>0</v>
      </c>
    </row>
    <row r="13" spans="1:5" ht="19.5" customHeight="1">
      <c r="A13" s="419"/>
      <c r="B13" s="1" t="s">
        <v>60</v>
      </c>
      <c r="C13" s="420">
        <v>0</v>
      </c>
      <c r="D13" s="604">
        <v>0</v>
      </c>
      <c r="E13" s="601">
        <v>0</v>
      </c>
    </row>
    <row r="14" spans="1:5" ht="19.5" customHeight="1">
      <c r="A14" s="419"/>
      <c r="B14" s="1" t="s">
        <v>61</v>
      </c>
      <c r="C14" s="420">
        <f>'รับ-จ่าย  (2)'!J23</f>
        <v>0</v>
      </c>
      <c r="D14" s="604">
        <f t="shared" si="0"/>
        <v>0</v>
      </c>
      <c r="E14" s="601"/>
    </row>
    <row r="15" spans="1:5" ht="19.5" customHeight="1">
      <c r="A15" s="419"/>
      <c r="B15" s="1" t="s">
        <v>146</v>
      </c>
      <c r="C15" s="420">
        <f>'[1]รับ-จ่าย'!I62</f>
        <v>0</v>
      </c>
      <c r="D15" s="604">
        <f t="shared" si="0"/>
        <v>0</v>
      </c>
      <c r="E15" s="601"/>
    </row>
    <row r="16" spans="1:5" ht="19.5" customHeight="1">
      <c r="A16" s="419"/>
      <c r="B16" s="1" t="s">
        <v>175</v>
      </c>
      <c r="C16" s="420"/>
      <c r="D16" s="604">
        <f t="shared" si="0"/>
        <v>0</v>
      </c>
      <c r="E16" s="601"/>
    </row>
    <row r="17" spans="1:5" ht="19.5" customHeight="1">
      <c r="A17" s="419"/>
      <c r="B17" s="1" t="s">
        <v>93</v>
      </c>
      <c r="C17" s="420">
        <f>'รับ-จ่าย  (2)'!J19</f>
        <v>0</v>
      </c>
      <c r="D17" s="604">
        <f t="shared" si="0"/>
        <v>0</v>
      </c>
      <c r="E17" s="601">
        <v>0</v>
      </c>
    </row>
    <row r="18" spans="1:5" ht="19.5" customHeight="1">
      <c r="A18" s="419"/>
      <c r="B18" s="1" t="s">
        <v>99</v>
      </c>
      <c r="C18" s="420">
        <f>'รับ-จ่าย  (2)'!J22</f>
        <v>0</v>
      </c>
      <c r="D18" s="604">
        <f t="shared" si="0"/>
        <v>0</v>
      </c>
      <c r="E18" s="601">
        <v>0</v>
      </c>
    </row>
    <row r="19" spans="1:5" ht="19.5" customHeight="1">
      <c r="A19" s="419"/>
      <c r="B19" s="1" t="s">
        <v>348</v>
      </c>
      <c r="C19" s="420">
        <v>0</v>
      </c>
      <c r="D19" s="604">
        <f t="shared" si="0"/>
        <v>0</v>
      </c>
      <c r="E19" s="601"/>
    </row>
    <row r="20" spans="1:5" ht="19.5" customHeight="1">
      <c r="A20" s="419"/>
      <c r="B20" s="1" t="s">
        <v>649</v>
      </c>
      <c r="C20" s="420">
        <f>'รับ-จ่าย  (2)'!J63</f>
        <v>0</v>
      </c>
      <c r="D20" s="604">
        <f t="shared" si="0"/>
        <v>26700</v>
      </c>
      <c r="E20" s="601">
        <f>600+5800+600+2300+1500+1600+14300</f>
        <v>26700</v>
      </c>
    </row>
    <row r="21" spans="1:5" ht="19.5" customHeight="1">
      <c r="A21" s="419"/>
      <c r="B21" s="1" t="s">
        <v>92</v>
      </c>
      <c r="C21" s="420">
        <v>0</v>
      </c>
      <c r="D21" s="604">
        <f t="shared" si="0"/>
        <v>0</v>
      </c>
      <c r="E21" s="601">
        <v>0</v>
      </c>
    </row>
    <row r="22" spans="1:5" ht="19.5" customHeight="1">
      <c r="A22" s="419"/>
      <c r="B22" s="1" t="s">
        <v>144</v>
      </c>
      <c r="C22" s="420">
        <f>'รับ-จ่าย  (2)'!J65</f>
        <v>0</v>
      </c>
      <c r="D22" s="604">
        <f t="shared" si="0"/>
        <v>0</v>
      </c>
      <c r="E22" s="601">
        <v>0</v>
      </c>
    </row>
    <row r="23" spans="1:5" ht="19.5" customHeight="1">
      <c r="A23" s="419"/>
      <c r="B23" s="1" t="s">
        <v>155</v>
      </c>
      <c r="C23" s="420">
        <f>'รับ-จ่าย  (2)'!J66</f>
        <v>0</v>
      </c>
      <c r="D23" s="604">
        <f t="shared" si="0"/>
        <v>0</v>
      </c>
      <c r="E23" s="601">
        <v>0</v>
      </c>
    </row>
    <row r="24" spans="1:5" ht="19.5" customHeight="1">
      <c r="A24" s="419"/>
      <c r="B24" s="1" t="s">
        <v>118</v>
      </c>
      <c r="C24" s="420"/>
      <c r="D24" s="604">
        <f t="shared" si="0"/>
        <v>0</v>
      </c>
      <c r="E24" s="601"/>
    </row>
    <row r="25" spans="1:5" ht="19.5" customHeight="1">
      <c r="A25" s="419"/>
      <c r="B25" s="1" t="s">
        <v>139</v>
      </c>
      <c r="C25" s="420">
        <f>'[1]รับ-จ่าย'!I27</f>
        <v>0</v>
      </c>
      <c r="D25" s="604">
        <f t="shared" si="0"/>
        <v>0</v>
      </c>
      <c r="E25" s="601"/>
    </row>
    <row r="26" spans="1:5" ht="19.5" customHeight="1">
      <c r="A26" s="419"/>
      <c r="B26" s="1" t="s">
        <v>139</v>
      </c>
      <c r="C26" s="420">
        <f>'รับ-จ่าย  (2)'!J68</f>
        <v>800</v>
      </c>
      <c r="D26" s="604">
        <f t="shared" si="0"/>
        <v>1400</v>
      </c>
      <c r="E26" s="601">
        <v>600</v>
      </c>
    </row>
    <row r="27" spans="1:5" ht="19.5" customHeight="1">
      <c r="A27" s="419"/>
      <c r="B27" s="1" t="s">
        <v>221</v>
      </c>
      <c r="C27" s="420">
        <f>'รับ-จ่าย  (2)'!J67</f>
        <v>0</v>
      </c>
      <c r="D27" s="604">
        <f t="shared" si="0"/>
        <v>0</v>
      </c>
      <c r="E27" s="601">
        <v>0</v>
      </c>
    </row>
    <row r="28" spans="1:5" ht="19.5" customHeight="1" hidden="1">
      <c r="A28" s="419"/>
      <c r="B28" s="1" t="s">
        <v>134</v>
      </c>
      <c r="C28" s="420">
        <v>0</v>
      </c>
      <c r="D28" s="604">
        <f t="shared" si="0"/>
        <v>0</v>
      </c>
      <c r="E28" s="601"/>
    </row>
    <row r="29" spans="1:5" ht="19.5" customHeight="1" hidden="1">
      <c r="A29" s="419"/>
      <c r="B29" s="1" t="s">
        <v>168</v>
      </c>
      <c r="C29" s="420">
        <v>0</v>
      </c>
      <c r="D29" s="604">
        <v>0</v>
      </c>
      <c r="E29" s="601"/>
    </row>
    <row r="30" spans="1:5" ht="19.5" customHeight="1">
      <c r="A30" s="419"/>
      <c r="B30" s="1" t="s">
        <v>503</v>
      </c>
      <c r="C30" s="420">
        <f>'รับ-จ่าย  (2)'!J69</f>
        <v>0</v>
      </c>
      <c r="D30" s="604">
        <v>0</v>
      </c>
      <c r="E30" s="601">
        <v>0</v>
      </c>
    </row>
    <row r="31" spans="1:5" ht="19.5" customHeight="1" thickBot="1">
      <c r="A31" s="419"/>
      <c r="B31" s="1" t="s">
        <v>117</v>
      </c>
      <c r="C31" s="420">
        <f>'รับ-จ่าย  (2)'!J60</f>
        <v>0</v>
      </c>
      <c r="D31" s="604">
        <f t="shared" si="0"/>
        <v>0</v>
      </c>
      <c r="E31" s="601">
        <v>0</v>
      </c>
    </row>
    <row r="32" spans="1:5" ht="19.5" customHeight="1" thickBot="1" thickTop="1">
      <c r="A32" s="419"/>
      <c r="B32" s="422" t="s">
        <v>49</v>
      </c>
      <c r="C32" s="599">
        <f>SUM(C6:C31)</f>
        <v>1878427.96</v>
      </c>
      <c r="D32" s="605">
        <f>SUM(D6:D31)</f>
        <v>37344540.92999999</v>
      </c>
      <c r="E32" s="602">
        <f>SUM(E6:E31)</f>
        <v>35466112.96999999</v>
      </c>
    </row>
    <row r="33" spans="1:5" ht="19.5" customHeight="1" thickTop="1">
      <c r="A33" s="418" t="s">
        <v>67</v>
      </c>
      <c r="B33" s="1" t="s">
        <v>83</v>
      </c>
      <c r="C33" s="420">
        <f>'รับ-จ่าย  (2)'!L86</f>
        <v>2408855.13</v>
      </c>
      <c r="D33" s="425">
        <f aca="true" t="shared" si="1" ref="D33:D48">E33+C33</f>
        <v>24755017.779999997</v>
      </c>
      <c r="E33" s="426">
        <f>1626941.5+3351085.84+2889043.18+3675983.71+2287528.63+2789786.36+2028592.6+3697200.83</f>
        <v>22346162.65</v>
      </c>
    </row>
    <row r="34" spans="1:5" ht="19.5" customHeight="1">
      <c r="A34" s="419"/>
      <c r="B34" s="1" t="s">
        <v>111</v>
      </c>
      <c r="C34" s="420"/>
      <c r="D34" s="425">
        <f t="shared" si="1"/>
        <v>0</v>
      </c>
      <c r="E34" s="426">
        <v>0</v>
      </c>
    </row>
    <row r="35" spans="1:5" ht="19.5" customHeight="1">
      <c r="A35" s="419"/>
      <c r="B35" s="1" t="s">
        <v>84</v>
      </c>
      <c r="C35" s="420">
        <f>'รับ-จ่าย  (2)'!J101</f>
        <v>57307.81</v>
      </c>
      <c r="D35" s="425">
        <f t="shared" si="1"/>
        <v>433723.47</v>
      </c>
      <c r="E35" s="426">
        <f>46495.29+34435.76+28577.84+45254+122547.96+50039.66+26746.1+22319.05</f>
        <v>376415.66</v>
      </c>
    </row>
    <row r="36" spans="1:5" ht="19.5" customHeight="1">
      <c r="A36" s="419"/>
      <c r="B36" s="1" t="s">
        <v>105</v>
      </c>
      <c r="C36" s="420">
        <f>'รับ-จ่าย  (2)'!J114</f>
        <v>0</v>
      </c>
      <c r="D36" s="425">
        <f t="shared" si="1"/>
        <v>0</v>
      </c>
      <c r="E36" s="426">
        <v>0</v>
      </c>
    </row>
    <row r="37" spans="1:5" ht="19.5" customHeight="1">
      <c r="A37" s="419"/>
      <c r="B37" s="1" t="s">
        <v>216</v>
      </c>
      <c r="C37" s="420">
        <f>'รับ-จ่าย  (2)'!J106+'รับ-จ่าย  (2)'!J109+'รับ-จ่าย  (2)'!J104</f>
        <v>16963.25</v>
      </c>
      <c r="D37" s="425">
        <f t="shared" si="1"/>
        <v>194469.25</v>
      </c>
      <c r="E37" s="426">
        <f>44926.5+7963.25+39363.25+26863.25+7963.25+33463.25+16963.25</f>
        <v>177506</v>
      </c>
    </row>
    <row r="38" spans="1:5" ht="19.5" customHeight="1">
      <c r="A38" s="419"/>
      <c r="B38" s="431" t="s">
        <v>228</v>
      </c>
      <c r="C38" s="420">
        <v>0</v>
      </c>
      <c r="D38" s="425">
        <f t="shared" si="1"/>
        <v>0</v>
      </c>
      <c r="E38" s="426">
        <v>0</v>
      </c>
    </row>
    <row r="39" spans="1:5" ht="19.5" customHeight="1">
      <c r="A39" s="419"/>
      <c r="B39" s="1" t="s">
        <v>147</v>
      </c>
      <c r="C39" s="420">
        <v>0</v>
      </c>
      <c r="D39" s="425">
        <f t="shared" si="1"/>
        <v>0</v>
      </c>
      <c r="E39" s="426">
        <v>0</v>
      </c>
    </row>
    <row r="40" spans="1:5" ht="19.5" customHeight="1">
      <c r="A40" s="419"/>
      <c r="B40" s="1" t="s">
        <v>81</v>
      </c>
      <c r="C40" s="427">
        <f>'รับ-จ่าย  (2)'!J98</f>
        <v>0</v>
      </c>
      <c r="D40" s="425">
        <f t="shared" si="1"/>
        <v>1101923.7</v>
      </c>
      <c r="E40" s="426">
        <f>300550.1+801373.6</f>
        <v>1101923.7</v>
      </c>
    </row>
    <row r="41" spans="1:5" ht="19.5" customHeight="1">
      <c r="A41" s="419"/>
      <c r="B41" s="1" t="s">
        <v>95</v>
      </c>
      <c r="C41" s="427">
        <f>'[1]รับ-จ่าย'!I61</f>
        <v>0</v>
      </c>
      <c r="D41" s="425">
        <f t="shared" si="1"/>
        <v>0</v>
      </c>
      <c r="E41" s="426">
        <v>0</v>
      </c>
    </row>
    <row r="42" spans="1:5" ht="19.5" customHeight="1">
      <c r="A42" s="419"/>
      <c r="B42" s="1" t="s">
        <v>362</v>
      </c>
      <c r="C42" s="427">
        <f>'รับ-จ่าย  (2)'!J94</f>
        <v>0</v>
      </c>
      <c r="D42" s="425">
        <f t="shared" si="1"/>
        <v>0</v>
      </c>
      <c r="E42" s="426">
        <v>0</v>
      </c>
    </row>
    <row r="43" spans="1:5" ht="19.5" customHeight="1">
      <c r="A43" s="419"/>
      <c r="B43" s="1" t="s">
        <v>79</v>
      </c>
      <c r="C43" s="427">
        <f>'รับ-จ่าย  (2)'!J95</f>
        <v>473600</v>
      </c>
      <c r="D43" s="425">
        <f t="shared" si="1"/>
        <v>4444460</v>
      </c>
      <c r="E43" s="426">
        <f>489400+528600+474500+486700+506560+465300+496000+523800</f>
        <v>3970860</v>
      </c>
    </row>
    <row r="44" spans="1:5" ht="19.5" customHeight="1">
      <c r="A44" s="419"/>
      <c r="B44" s="159" t="s">
        <v>35</v>
      </c>
      <c r="C44" s="420">
        <f>'รับ-จ่าย  (2)'!J96</f>
        <v>0</v>
      </c>
      <c r="D44" s="425">
        <f t="shared" si="1"/>
        <v>0</v>
      </c>
      <c r="E44" s="426">
        <v>0</v>
      </c>
    </row>
    <row r="45" spans="1:5" ht="19.5" customHeight="1">
      <c r="A45" s="419"/>
      <c r="B45" s="1" t="s">
        <v>321</v>
      </c>
      <c r="C45" s="420">
        <f>'รับ-จ่าย  (2)'!J97</f>
        <v>0</v>
      </c>
      <c r="D45" s="425">
        <f t="shared" si="1"/>
        <v>0</v>
      </c>
      <c r="E45" s="426">
        <v>0</v>
      </c>
    </row>
    <row r="46" spans="1:5" ht="19.5" customHeight="1">
      <c r="A46" s="419"/>
      <c r="B46" s="1" t="s">
        <v>177</v>
      </c>
      <c r="C46" s="427">
        <f>'รับ-จ่าย  (2)'!J99</f>
        <v>0</v>
      </c>
      <c r="D46" s="425">
        <f t="shared" si="1"/>
        <v>0</v>
      </c>
      <c r="E46" s="426">
        <v>0</v>
      </c>
    </row>
    <row r="47" spans="1:5" ht="19.5" customHeight="1">
      <c r="A47" s="419"/>
      <c r="B47" s="1" t="s">
        <v>106</v>
      </c>
      <c r="C47" s="420">
        <f>'รับ-จ่าย  (2)'!J100</f>
        <v>0</v>
      </c>
      <c r="D47" s="425">
        <f t="shared" si="1"/>
        <v>406061.09</v>
      </c>
      <c r="E47" s="426">
        <v>406061.09</v>
      </c>
    </row>
    <row r="48" spans="1:5" ht="19.5" customHeight="1" thickBot="1">
      <c r="A48" s="419"/>
      <c r="B48" s="1" t="s">
        <v>107</v>
      </c>
      <c r="C48" s="420">
        <v>0</v>
      </c>
      <c r="D48" s="425">
        <f t="shared" si="1"/>
        <v>0</v>
      </c>
      <c r="E48" s="421">
        <v>0</v>
      </c>
    </row>
    <row r="49" spans="1:5" ht="19.5" customHeight="1" thickBot="1">
      <c r="A49" s="419"/>
      <c r="B49" s="174" t="s">
        <v>50</v>
      </c>
      <c r="C49" s="423">
        <f>SUM(C33:C48)</f>
        <v>2956726.19</v>
      </c>
      <c r="D49" s="423">
        <f>SUM(D33:D48)</f>
        <v>31335655.289999995</v>
      </c>
      <c r="E49" s="424">
        <f>SUM(E33:E48)</f>
        <v>28378929.099999998</v>
      </c>
    </row>
    <row r="50" spans="1:5" ht="21.75" thickBot="1">
      <c r="A50" s="414"/>
      <c r="B50" s="428" t="s">
        <v>85</v>
      </c>
      <c r="C50" s="429">
        <f>SUM(C32-C49)</f>
        <v>-1078298.23</v>
      </c>
      <c r="D50" s="429">
        <f>SUM(D32-D49)</f>
        <v>6008885.639999997</v>
      </c>
      <c r="E50" s="430"/>
    </row>
    <row r="51" spans="2:4" ht="19.5" hidden="1" thickTop="1">
      <c r="B51" s="431" t="s">
        <v>164</v>
      </c>
      <c r="C51" s="432">
        <f>'รับ-จ่าย  (2)'!D118</f>
        <v>6008885.640000001</v>
      </c>
      <c r="D51" s="433">
        <f>'รับ-จ่าย  (2)'!J118</f>
        <v>-1078298.23</v>
      </c>
    </row>
    <row r="52" spans="2:5" ht="18.75" hidden="1">
      <c r="B52" s="431" t="s">
        <v>165</v>
      </c>
      <c r="C52" s="432">
        <f>C50-C51</f>
        <v>-7087183.870000001</v>
      </c>
      <c r="D52" s="432">
        <f>D50-D51</f>
        <v>7087183.869999997</v>
      </c>
      <c r="E52" s="434"/>
    </row>
    <row r="53" ht="19.5" thickTop="1"/>
  </sheetData>
  <sheetProtection/>
  <mergeCells count="3">
    <mergeCell ref="A1:D1"/>
    <mergeCell ref="A2:D2"/>
    <mergeCell ref="A3:D3"/>
  </mergeCells>
  <printOptions/>
  <pageMargins left="0.669291338582677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24"/>
  <sheetViews>
    <sheetView tabSelected="1" zoomScale="110" zoomScaleNormal="110" zoomScalePageLayoutView="0" workbookViewId="0" topLeftCell="A7">
      <selection activeCell="A12" sqref="A12"/>
    </sheetView>
  </sheetViews>
  <sheetFormatPr defaultColWidth="9.140625" defaultRowHeight="21.75" customHeight="1"/>
  <cols>
    <col min="1" max="1" width="42.57421875" style="1" customWidth="1"/>
    <col min="2" max="2" width="10.57421875" style="1" customWidth="1"/>
    <col min="3" max="3" width="14.28125" style="1" customWidth="1"/>
    <col min="4" max="4" width="13.7109375" style="1" customWidth="1"/>
    <col min="5" max="5" width="13.8515625" style="1" customWidth="1"/>
    <col min="6" max="6" width="13.57421875" style="1" customWidth="1"/>
    <col min="7" max="7" width="13.57421875" style="1" bestFit="1" customWidth="1"/>
    <col min="8" max="16384" width="9.140625" style="1" customWidth="1"/>
  </cols>
  <sheetData>
    <row r="1" spans="5:6" ht="21.75" customHeight="1">
      <c r="E1" s="704" t="s">
        <v>129</v>
      </c>
      <c r="F1" s="704"/>
    </row>
    <row r="2" spans="1:6" ht="21.75" customHeight="1">
      <c r="A2" s="702" t="s">
        <v>76</v>
      </c>
      <c r="B2" s="702"/>
      <c r="C2" s="702"/>
      <c r="D2" s="702"/>
      <c r="E2" s="702"/>
      <c r="F2" s="702"/>
    </row>
    <row r="3" spans="1:6" ht="21.75" customHeight="1">
      <c r="A3" s="702" t="s">
        <v>62</v>
      </c>
      <c r="B3" s="702"/>
      <c r="C3" s="702"/>
      <c r="D3" s="702"/>
      <c r="E3" s="702"/>
      <c r="F3" s="702"/>
    </row>
    <row r="4" spans="1:6" ht="21.75" customHeight="1">
      <c r="A4" s="702" t="s">
        <v>700</v>
      </c>
      <c r="B4" s="702"/>
      <c r="C4" s="702"/>
      <c r="D4" s="702"/>
      <c r="E4" s="702"/>
      <c r="F4" s="702"/>
    </row>
    <row r="5" ht="21.75" customHeight="1" thickBot="1"/>
    <row r="6" spans="1:6" ht="21.75" customHeight="1" thickBot="1">
      <c r="A6" s="435" t="s">
        <v>42</v>
      </c>
      <c r="B6" s="224" t="s">
        <v>47</v>
      </c>
      <c r="C6" s="436" t="s">
        <v>48</v>
      </c>
      <c r="D6" s="436" t="s">
        <v>63</v>
      </c>
      <c r="E6" s="436" t="s">
        <v>64</v>
      </c>
      <c r="F6" s="437" t="s">
        <v>65</v>
      </c>
    </row>
    <row r="7" spans="1:7" ht="21.75" customHeight="1">
      <c r="A7" s="442" t="s">
        <v>131</v>
      </c>
      <c r="B7" s="443">
        <v>230102</v>
      </c>
      <c r="C7" s="401">
        <v>6401.81</v>
      </c>
      <c r="D7" s="401">
        <f>'ใบผ่านรายการ  2'!F32</f>
        <v>5891.24</v>
      </c>
      <c r="E7" s="444">
        <f>'ใบผ่านรายการ  2'!E32</f>
        <v>6401.81</v>
      </c>
      <c r="F7" s="181">
        <f>SUM(C7+D7-E7)</f>
        <v>5891.239999999999</v>
      </c>
      <c r="G7" s="1">
        <v>1</v>
      </c>
    </row>
    <row r="8" spans="1:7" ht="21">
      <c r="A8" s="442" t="s">
        <v>127</v>
      </c>
      <c r="B8" s="443">
        <v>230105</v>
      </c>
      <c r="C8" s="401">
        <v>23799.28</v>
      </c>
      <c r="D8" s="401">
        <f>'ใบผ่านรายการ 1 '!H18</f>
        <v>0</v>
      </c>
      <c r="E8" s="444">
        <v>0</v>
      </c>
      <c r="F8" s="181">
        <f>SUM(C8+D8-E8)</f>
        <v>23799.28</v>
      </c>
      <c r="G8" s="1">
        <v>1</v>
      </c>
    </row>
    <row r="9" spans="1:6" ht="21">
      <c r="A9" s="448" t="s">
        <v>218</v>
      </c>
      <c r="B9" s="229" t="s">
        <v>376</v>
      </c>
      <c r="C9" s="401">
        <v>0</v>
      </c>
      <c r="D9" s="401">
        <f>'ใบผ่านรายการ 1 '!H19</f>
        <v>0</v>
      </c>
      <c r="E9" s="444">
        <f>'ใบผ่านรายการ  2'!E33</f>
        <v>0</v>
      </c>
      <c r="F9" s="181">
        <f aca="true" t="shared" si="0" ref="F9:F18">SUM(C9+D9-E9)</f>
        <v>0</v>
      </c>
    </row>
    <row r="10" spans="1:7" ht="21.75" customHeight="1">
      <c r="A10" s="438" t="s">
        <v>318</v>
      </c>
      <c r="B10" s="439">
        <v>230109</v>
      </c>
      <c r="C10" s="440">
        <v>152309.9</v>
      </c>
      <c r="D10" s="440">
        <f>'ใบผ่านรายการ 1 '!H16</f>
        <v>3975</v>
      </c>
      <c r="E10" s="441">
        <f>'ใบผ่านรายการ  2'!E34</f>
        <v>33000</v>
      </c>
      <c r="F10" s="181">
        <f t="shared" si="0"/>
        <v>123284.9</v>
      </c>
      <c r="G10" s="651">
        <v>1</v>
      </c>
    </row>
    <row r="11" spans="1:7" ht="21.75" customHeight="1">
      <c r="A11" s="442" t="s">
        <v>132</v>
      </c>
      <c r="B11" s="443">
        <v>230110</v>
      </c>
      <c r="C11" s="401">
        <v>4140</v>
      </c>
      <c r="D11" s="401">
        <f>'ใบผ่านรายการ 1 '!H17</f>
        <v>0</v>
      </c>
      <c r="E11" s="444">
        <f>'ใบผ่านรายการ  2'!E35</f>
        <v>0</v>
      </c>
      <c r="F11" s="181">
        <f t="shared" si="0"/>
        <v>4140</v>
      </c>
      <c r="G11" s="1">
        <v>1</v>
      </c>
    </row>
    <row r="12" spans="1:6" ht="21">
      <c r="A12" s="442" t="s">
        <v>301</v>
      </c>
      <c r="B12" s="443">
        <v>215014</v>
      </c>
      <c r="C12" s="401">
        <v>0</v>
      </c>
      <c r="D12" s="401">
        <v>0</v>
      </c>
      <c r="E12" s="444">
        <v>0</v>
      </c>
      <c r="F12" s="181">
        <f t="shared" si="0"/>
        <v>0</v>
      </c>
    </row>
    <row r="13" spans="1:7" ht="21">
      <c r="A13" s="445" t="s">
        <v>170</v>
      </c>
      <c r="B13" s="446">
        <v>230115</v>
      </c>
      <c r="C13" s="447">
        <v>17906</v>
      </c>
      <c r="D13" s="401">
        <f>'ใบผ่านรายการ  2'!F36+'ใบผ่านรายการ 1 '!H20</f>
        <v>17906</v>
      </c>
      <c r="E13" s="444">
        <f>'ใบผ่านรายการ  2'!E36</f>
        <v>17906</v>
      </c>
      <c r="F13" s="181">
        <f t="shared" si="0"/>
        <v>17906</v>
      </c>
      <c r="G13" s="651">
        <v>1</v>
      </c>
    </row>
    <row r="14" spans="1:6" ht="21">
      <c r="A14" s="451" t="s">
        <v>375</v>
      </c>
      <c r="B14" s="446">
        <v>230116</v>
      </c>
      <c r="C14" s="447">
        <v>69350</v>
      </c>
      <c r="D14" s="447">
        <v>0</v>
      </c>
      <c r="E14" s="450">
        <f>'ใบผ่านรายการ  2'!E37</f>
        <v>0</v>
      </c>
      <c r="F14" s="181">
        <f t="shared" si="0"/>
        <v>69350</v>
      </c>
    </row>
    <row r="15" spans="1:6" ht="21">
      <c r="A15" s="634" t="s">
        <v>516</v>
      </c>
      <c r="B15" s="446"/>
      <c r="C15" s="447"/>
      <c r="D15" s="447">
        <f>'ใบผ่านรายการ 1 '!H21</f>
        <v>0</v>
      </c>
      <c r="E15" s="450">
        <f>'ใบผ่านรายการ  2'!E41</f>
        <v>0</v>
      </c>
      <c r="F15" s="181">
        <f t="shared" si="0"/>
        <v>0</v>
      </c>
    </row>
    <row r="16" spans="1:6" ht="21">
      <c r="A16" s="634" t="s">
        <v>514</v>
      </c>
      <c r="B16" s="446"/>
      <c r="C16" s="447"/>
      <c r="D16" s="447">
        <f>'ใบผ่านรายการ 1 '!H22</f>
        <v>0</v>
      </c>
      <c r="E16" s="450">
        <f>'ใบผ่านรายการ  2'!E38</f>
        <v>0</v>
      </c>
      <c r="F16" s="181">
        <f t="shared" si="0"/>
        <v>0</v>
      </c>
    </row>
    <row r="17" spans="1:6" ht="21">
      <c r="A17" s="449" t="s">
        <v>171</v>
      </c>
      <c r="B17" s="446">
        <v>230199</v>
      </c>
      <c r="C17" s="447">
        <v>0</v>
      </c>
      <c r="D17" s="447">
        <f>'ใบผ่านรายการ 1 '!H26</f>
        <v>0</v>
      </c>
      <c r="E17" s="450">
        <f>'ใบผ่านรายการ  2'!E42</f>
        <v>0</v>
      </c>
      <c r="F17" s="181">
        <f t="shared" si="0"/>
        <v>0</v>
      </c>
    </row>
    <row r="18" spans="1:6" ht="21.75" thickBot="1">
      <c r="A18" s="516" t="s">
        <v>379</v>
      </c>
      <c r="B18" s="446">
        <v>230199</v>
      </c>
      <c r="C18" s="447">
        <v>0</v>
      </c>
      <c r="D18" s="447">
        <f>'ใบผ่านรายการ 1 '!H23</f>
        <v>0</v>
      </c>
      <c r="E18" s="444">
        <f>'ใบผ่านรายการ  2'!E39</f>
        <v>0</v>
      </c>
      <c r="F18" s="181">
        <f t="shared" si="0"/>
        <v>0</v>
      </c>
    </row>
    <row r="19" spans="1:7" ht="21.75" thickBot="1">
      <c r="A19" s="727" t="s">
        <v>70</v>
      </c>
      <c r="B19" s="811"/>
      <c r="C19" s="452">
        <f>SUM(C7:C18)</f>
        <v>273906.99</v>
      </c>
      <c r="D19" s="452">
        <f>D7+D8+D9+D10+D11+D12+D13+D14+D15+D16+D17</f>
        <v>27772.239999999998</v>
      </c>
      <c r="E19" s="452">
        <f>E7+E8+E9+E10+E11+E12+E13+E14+E15+E16+E17+E18</f>
        <v>57307.81</v>
      </c>
      <c r="F19" s="452">
        <f>SUM(F7:F18)</f>
        <v>244371.41999999998</v>
      </c>
      <c r="G19" s="184"/>
    </row>
    <row r="20" spans="4:7" ht="21.75" customHeight="1">
      <c r="D20" s="184"/>
      <c r="G20" s="184">
        <f>F19-G19</f>
        <v>244371.41999999998</v>
      </c>
    </row>
    <row r="21" spans="3:7" ht="21.75" customHeight="1">
      <c r="C21" s="2"/>
      <c r="D21" s="184"/>
      <c r="F21" s="184"/>
      <c r="G21" s="184"/>
    </row>
    <row r="22" spans="2:4" ht="21.75" customHeight="1">
      <c r="B22" s="809"/>
      <c r="C22" s="809"/>
      <c r="D22" s="809"/>
    </row>
    <row r="23" spans="2:3" ht="21.75" customHeight="1">
      <c r="B23" s="3"/>
      <c r="C23" s="3"/>
    </row>
    <row r="24" spans="2:4" ht="21.75" customHeight="1">
      <c r="B24" s="810"/>
      <c r="C24" s="810"/>
      <c r="D24" s="810"/>
    </row>
  </sheetData>
  <sheetProtection/>
  <mergeCells count="7">
    <mergeCell ref="B22:D22"/>
    <mergeCell ref="B24:D24"/>
    <mergeCell ref="E1:F1"/>
    <mergeCell ref="A2:F2"/>
    <mergeCell ref="A3:F3"/>
    <mergeCell ref="A4:F4"/>
    <mergeCell ref="A19:B19"/>
  </mergeCells>
  <printOptions horizontalCentered="1"/>
  <pageMargins left="0.25" right="0" top="0.787401574803149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Windows User</cp:lastModifiedBy>
  <cp:lastPrinted>2018-07-04T03:13:59Z</cp:lastPrinted>
  <dcterms:created xsi:type="dcterms:W3CDTF">2004-10-24T06:57:58Z</dcterms:created>
  <dcterms:modified xsi:type="dcterms:W3CDTF">2018-07-20T03:45:51Z</dcterms:modified>
  <cp:category/>
  <cp:version/>
  <cp:contentType/>
  <cp:contentStatus/>
</cp:coreProperties>
</file>