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060" windowHeight="8190" activeTab="0"/>
  </bookViews>
  <sheets>
    <sheet name="รายงานรับ-จ่ายเงินสด" sheetId="1" r:id="rId1"/>
    <sheet name="รายงานกระแสเงินสด" sheetId="2" r:id="rId2"/>
    <sheet name="รายรับจริงประกอบงบทดลอง" sheetId="3" r:id="rId3"/>
    <sheet name="รายละเอียดประกอบงบทดลอง" sheetId="4" r:id="rId4"/>
    <sheet name="งบทดลอง" sheetId="5" r:id="rId5"/>
  </sheets>
  <externalReferences>
    <externalReference r:id="rId8"/>
  </externalReferences>
  <definedNames>
    <definedName name="_xlnm.Print_Titles" localSheetId="0">'รายงานรับ-จ่ายเงินสด'!$4:$6</definedName>
    <definedName name="_xlnm.Print_Titles" localSheetId="2">'รายรับจริงประกอบงบทดลอง'!$5:$5</definedName>
  </definedNames>
  <calcPr fullCalcOnLoad="1"/>
</workbook>
</file>

<file path=xl/sharedStrings.xml><?xml version="1.0" encoding="utf-8"?>
<sst xmlns="http://schemas.openxmlformats.org/spreadsheetml/2006/main" count="317" uniqueCount="256">
  <si>
    <t>เทศบาลตำบลแหลมสัก</t>
  </si>
  <si>
    <t>จนถึงปัจจุบัน</t>
  </si>
  <si>
    <t>รายการ</t>
  </si>
  <si>
    <t>รหัสบัญชี</t>
  </si>
  <si>
    <t>เดือนนี้</t>
  </si>
  <si>
    <t>ประมาณการ</t>
  </si>
  <si>
    <t>เกิดขึ้นจริง</t>
  </si>
  <si>
    <t>ยอดยกมา</t>
  </si>
  <si>
    <t xml:space="preserve">  ภาษีอากร</t>
  </si>
  <si>
    <t xml:space="preserve">  ค่าธรรมเนียม ค่าปรับและใบอนุญาต</t>
  </si>
  <si>
    <t xml:space="preserve">  รายได้จากทรัพย์สิน</t>
  </si>
  <si>
    <t xml:space="preserve">  รายได้เบ็ดเตล็ด</t>
  </si>
  <si>
    <t xml:space="preserve">  ภาษีจัดสรร</t>
  </si>
  <si>
    <t xml:space="preserve">  เงินอุดหนุน</t>
  </si>
  <si>
    <t xml:space="preserve">  เงินรับฝาก (หมายเหตุ 2)</t>
  </si>
  <si>
    <t xml:space="preserve">  เงินสะสม</t>
  </si>
  <si>
    <t xml:space="preserve">  ลูกหนี้-เงินยืมเงินงบประมาณ</t>
  </si>
  <si>
    <t xml:space="preserve"> </t>
  </si>
  <si>
    <t>รายจ่าย</t>
  </si>
  <si>
    <t xml:space="preserve">  งบกลาง</t>
  </si>
  <si>
    <t xml:space="preserve">  ค่าตอบแทน</t>
  </si>
  <si>
    <t xml:space="preserve">  ค่าใช้สอย</t>
  </si>
  <si>
    <t xml:space="preserve">  ค่าวัสดุ</t>
  </si>
  <si>
    <t xml:space="preserve">  ค่าสาธารณูปโภค</t>
  </si>
  <si>
    <t xml:space="preserve">  ค่าครุภัณฑ์</t>
  </si>
  <si>
    <t xml:space="preserve">  ค่าที่ดินและสิ่งก่อสร้าง</t>
  </si>
  <si>
    <t xml:space="preserve">  รายจ่ายค้างจ่าย</t>
  </si>
  <si>
    <t>รวมรายจ่าย</t>
  </si>
  <si>
    <t>สูงกว่า</t>
  </si>
  <si>
    <t>รายรับ</t>
  </si>
  <si>
    <t>(ต่ำกว่า)</t>
  </si>
  <si>
    <t>ยอดยกไป</t>
  </si>
  <si>
    <t>ตั้งแต่ต้นปีถึงปัจจุบัน</t>
  </si>
  <si>
    <t>เงินรายรับ</t>
  </si>
  <si>
    <t>เงินรับฝาก</t>
  </si>
  <si>
    <t>เงินสด</t>
  </si>
  <si>
    <t>ลูกหนี้-เงินยืมเงินงบประมาณ</t>
  </si>
  <si>
    <t>เงินสะสม</t>
  </si>
  <si>
    <t>รวม</t>
  </si>
  <si>
    <t>จ่ายเงินตามงบประมาณ</t>
  </si>
  <si>
    <t>จ่ายเงินรับฝาก</t>
  </si>
  <si>
    <t>รายจ่ายค้างจ่าย</t>
  </si>
  <si>
    <t>รับสูง หรือ (ต่ำกว่า) จ่าย</t>
  </si>
  <si>
    <t>รายได้จัดเก็บเอง</t>
  </si>
  <si>
    <t>รวมทั้งสิ้น</t>
  </si>
  <si>
    <t>รายละเอียดประกอบงบทดลองและรายงานรับ-จ่ายเงินสด</t>
  </si>
  <si>
    <t>รับ</t>
  </si>
  <si>
    <t>จ่าย</t>
  </si>
  <si>
    <t>คงเหลือ</t>
  </si>
  <si>
    <t xml:space="preserve">เงินรับฝาก </t>
  </si>
  <si>
    <t xml:space="preserve"> (หมายเหตุ 2)</t>
  </si>
  <si>
    <t>เงินฝากค่าใช้จ่ายในการจัดเก็บภาษีบำรุงท้องที่ 5%</t>
  </si>
  <si>
    <t>เงินมัดจำประกันสัญญา</t>
  </si>
  <si>
    <t>ค่าภาษีหัก  ณ  ที่จ่าย</t>
  </si>
  <si>
    <t>รายงานกระแสเงินสด</t>
  </si>
  <si>
    <t>เงินฝาก ก.ส.ท.</t>
  </si>
  <si>
    <t xml:space="preserve"> เงินอุดหนุนเฉพาะกิจฝากจังหวัด</t>
  </si>
  <si>
    <t xml:space="preserve">  เงินฝาก  ก.ส.ท.</t>
  </si>
  <si>
    <t>เงินอุดหนุนเฉพาะกิจฝากจังหวัด</t>
  </si>
  <si>
    <t>เงินอุดหนุนเฉพาะกิจค้างจ่าย</t>
  </si>
  <si>
    <t xml:space="preserve">  รายจ่ายรอจ่าย</t>
  </si>
  <si>
    <t>รายจ่ายรอจ่าย</t>
  </si>
  <si>
    <t xml:space="preserve">  ลูกหนี้-ภาษีโรงเรือนและที่ดิน</t>
  </si>
  <si>
    <t>เงินปันผลและเฉลี่ยคืนสหกรณ์ออมทรัพย์ฯ</t>
  </si>
  <si>
    <t>ค่าตอบแทนตัวแทน จนท.สหกรณ์ออมทรัพย์ฯ</t>
  </si>
  <si>
    <t>เงินอุดหนุนเฉพาะกิจ-เบี้ยยังชีพคนพิการ</t>
  </si>
  <si>
    <t>เงินอุดหนุน</t>
  </si>
  <si>
    <t>ภาษีหน้าฎีกา</t>
  </si>
  <si>
    <t xml:space="preserve">  ลูกหนี้-ภาษีป้าย</t>
  </si>
  <si>
    <t>เงินอุดหนุนเฉพาะกิจ-ไทยเข้มแข็ง(ศพด)ค้างจ่าย</t>
  </si>
  <si>
    <t>ค่าที่ดินและสิ่งก่อสร้าง (จ่ายจากเงินอุดหนุนเฉพาะกิจ-ไทยเข้มแข็ง)</t>
  </si>
  <si>
    <t>ลูกหนี้-ภาษีป้าย</t>
  </si>
  <si>
    <t>เงินอุดหนุนเฉพาะกิจสำหรับสนับสนุน ศดว.(ศพด)ค้างจ่าย</t>
  </si>
  <si>
    <t>ค่าวัสดุ (จ่ายจากเงินอุดหนุนเฉพาะกิจสนับสนุนศดว.)</t>
  </si>
  <si>
    <t>ค่าที่ดินและสิ่งก่อสร้าง (จ่ายจากเงินกู้ กสท.)</t>
  </si>
  <si>
    <t>ลูกหนี้เงินยืมเงินสะสม</t>
  </si>
  <si>
    <t>ลูกหนี้-ภาษีโรงเรือนและที่ดิน</t>
  </si>
  <si>
    <t xml:space="preserve">  เงินเดือน (ฝ่ายประจำ)</t>
  </si>
  <si>
    <t xml:space="preserve">  เงินเดือน (ฝ่ายการเมือง)</t>
  </si>
  <si>
    <t>เงินอุดหนุนเฉพาะกิจ-เบี้ยยังชีพผู้สูงอายุ</t>
  </si>
  <si>
    <t xml:space="preserve">  ลูกหนี้-ภาษีบำรุงท้องที่</t>
  </si>
  <si>
    <t>ลูกหนี้-ภาษีบำรุงท้องที่</t>
  </si>
  <si>
    <t>เจ้าหนี้เงินกู้ กสท.</t>
  </si>
  <si>
    <t>งบกลาง</t>
  </si>
  <si>
    <t>เงินอุดหนุนเฉพาะกิจ-สำหรับสนับสนุน ศดว.</t>
  </si>
  <si>
    <t>รวมหมวดภาษีอากร</t>
  </si>
  <si>
    <t>รวมหมวดค่าธรรมเนียม ค่าปรับ และใบอนุญาต</t>
  </si>
  <si>
    <t>รวมหมวดรายได้จากทรัพย์สิน</t>
  </si>
  <si>
    <t>รวมหมวดรายได้เบ็ดเตล็ด</t>
  </si>
  <si>
    <t>รวมหมวดภาษีจัดสรร</t>
  </si>
  <si>
    <t>รวมหมวดเงินอุดหนุนทั่วไป</t>
  </si>
  <si>
    <t xml:space="preserve"> เงินอุดหนุนเฉพาะกิจค้างจ่าย</t>
  </si>
  <si>
    <t xml:space="preserve"> รายจ่ายรอจ่าย</t>
  </si>
  <si>
    <t xml:space="preserve"> เจ้าหนี้เงินกู้ กสท.</t>
  </si>
  <si>
    <t>เงินรับฝาก-ค่าประกันสังคม (ผดด.2 ราย)</t>
  </si>
  <si>
    <t>เงินประกันซอง</t>
  </si>
  <si>
    <t>ค่าใช้สอย</t>
  </si>
  <si>
    <t xml:space="preserve">  เงินอุดหนุนเฉพาะกิจ</t>
  </si>
  <si>
    <t>รวมรายรับ</t>
  </si>
  <si>
    <t>(บาท)</t>
  </si>
  <si>
    <t xml:space="preserve">  เงินอุดหนุนระบุวัตถุประสงค์ค้างจ่าย</t>
  </si>
  <si>
    <t xml:space="preserve">  รายได้จากรัฐบาลค้างรับ</t>
  </si>
  <si>
    <t>เงินอุดหนุนระบุวัตถุประสงค์ค้างจ่าย</t>
  </si>
  <si>
    <t>รายได้จากรัฐบาลค้างรับ</t>
  </si>
  <si>
    <t>รายงาน รับ - จ่ายเงินสด</t>
  </si>
  <si>
    <t>เงินอุดหนุนระบุวัตถุประสงค์/เฉพาะกิจ</t>
  </si>
  <si>
    <t>จำนวนเงินเดือนนี้ที่เกิดขึ้นจริง</t>
  </si>
  <si>
    <r>
      <t>รายรับ</t>
    </r>
    <r>
      <rPr>
        <b/>
        <sz val="14"/>
        <rFont val="TH SarabunPSK"/>
        <family val="2"/>
      </rPr>
      <t xml:space="preserve"> (หมายเหตุ 1)</t>
    </r>
  </si>
  <si>
    <r>
      <t xml:space="preserve"> </t>
    </r>
    <r>
      <rPr>
        <b/>
        <u val="single"/>
        <sz val="14"/>
        <rFont val="TH SarabunPSK"/>
        <family val="2"/>
      </rPr>
      <t>รายจ่าย</t>
    </r>
  </si>
  <si>
    <t xml:space="preserve">  รายได้จากสาธารณูปโภคและการพาณิชย์</t>
  </si>
  <si>
    <t>รายรับ                รายจ่าย</t>
  </si>
  <si>
    <t>เงินรับฝากอื่น-ส่งเสริมและสนับสนุนการปรับสภาพแวดล้อมที่อยู่อาศัยผู้พิการ</t>
  </si>
  <si>
    <t>เงินรับฝากอื่น-สนับสนุนการดำเนินงาน ศพค.ชุมชนตำบลแหลมสัก</t>
  </si>
  <si>
    <t>เงินรับฝาก-รับคืนเงินอุดหนุนเฉพาะกิจเบี้ยยังชีพผู้สูงอายุ ปี2555</t>
  </si>
  <si>
    <t>เงินรับฝาก-โครงการรณรงค์ควบคุมป้องกันโรคไข้เลือดออก (สปสช.)</t>
  </si>
  <si>
    <t>เงินรับฝากอื่น -เงินกองทุนค่ารักษาพยาบาลสิทธิ์อปท.(สปสช-จ่ายตรง)</t>
  </si>
  <si>
    <t>เงินรับฝากอื่น -ดอกเบี้ยเงินฝากโครงการปรับปรุงขยายเขตถนนสายอ่าวน้ำฯ (ทท.)</t>
  </si>
  <si>
    <t>412000</t>
  </si>
  <si>
    <t>413000</t>
  </si>
  <si>
    <t>415000</t>
  </si>
  <si>
    <t>431000</t>
  </si>
  <si>
    <t>ยอดยกมาตั้งแต่ต้นปี</t>
  </si>
  <si>
    <t>รับจริงเกินประมาณการ</t>
  </si>
  <si>
    <t xml:space="preserve"> รายจ่ายอื่น</t>
  </si>
  <si>
    <t>รายรับเดือนนี้</t>
  </si>
  <si>
    <t>รวมหมวดรายได้จากสาธารณูปโภคและการพาณิชย์</t>
  </si>
  <si>
    <t>400000</t>
  </si>
  <si>
    <t>410000</t>
  </si>
  <si>
    <t>414000</t>
  </si>
  <si>
    <t>421000</t>
  </si>
  <si>
    <t>441000</t>
  </si>
  <si>
    <t>215000</t>
  </si>
  <si>
    <t>310000</t>
  </si>
  <si>
    <t>511000</t>
  </si>
  <si>
    <t>521000</t>
  </si>
  <si>
    <t>522000</t>
  </si>
  <si>
    <t>531000</t>
  </si>
  <si>
    <t>532000</t>
  </si>
  <si>
    <t>533000</t>
  </si>
  <si>
    <t>534000</t>
  </si>
  <si>
    <t>561000</t>
  </si>
  <si>
    <t>541000</t>
  </si>
  <si>
    <t>542000</t>
  </si>
  <si>
    <t>551000</t>
  </si>
  <si>
    <t>113301</t>
  </si>
  <si>
    <t>113302</t>
  </si>
  <si>
    <t>113303</t>
  </si>
  <si>
    <t>211000</t>
  </si>
  <si>
    <t>112002</t>
  </si>
  <si>
    <t>เงินรับฝาก - รอคืนจังหวัด (ค่าปรับผิดสัญญา)</t>
  </si>
  <si>
    <t>110605</t>
  </si>
  <si>
    <t>110611</t>
  </si>
  <si>
    <t xml:space="preserve">  เงินสด</t>
  </si>
  <si>
    <t>110100</t>
  </si>
  <si>
    <t xml:space="preserve">  เงินฝาก กสท.</t>
  </si>
  <si>
    <t>120200</t>
  </si>
  <si>
    <t>เงินฝาก กสท.</t>
  </si>
  <si>
    <t>งบทดลอง</t>
  </si>
  <si>
    <t>เดบิท</t>
  </si>
  <si>
    <t>เครดิต</t>
  </si>
  <si>
    <t>111100</t>
  </si>
  <si>
    <t xml:space="preserve">เงินฝากธ.กรุงไทย </t>
  </si>
  <si>
    <t>สาขาอ่าวลึก  ออมทรัพย์</t>
  </si>
  <si>
    <t>02421-4</t>
  </si>
  <si>
    <t>31967-9</t>
  </si>
  <si>
    <t xml:space="preserve">สาขาอ่าวลึก  ประจำ  </t>
  </si>
  <si>
    <t>00544-2</t>
  </si>
  <si>
    <t xml:space="preserve">สาขาอ่าวลึก  กระแสรายวัน  </t>
  </si>
  <si>
    <t>01073-4</t>
  </si>
  <si>
    <t>เงินฝาก ธ.ก.ส. 22533-8</t>
  </si>
  <si>
    <t>ลูกหนี้เงินยืมเงินงบประมาณ</t>
  </si>
  <si>
    <t>113100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</si>
  <si>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</si>
  <si>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</si>
  <si>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</si>
  <si>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ทรัพย์สินเกิดจากเงินกู้</t>
  </si>
  <si>
    <t>เงินเดือน (ฝ่ายการเมือง)</t>
  </si>
  <si>
    <t>เงินเดือน (ฝ่ายประจำ)</t>
  </si>
  <si>
    <t>ค่าตอบแทน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</si>
  <si>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</si>
  <si>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</si>
  <si>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</si>
  <si>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</si>
  <si>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</si>
  <si>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ค่าปรับหน้าฎีกา</t>
  </si>
  <si>
    <t>เงินรับฝาก (หมายเหตุ 2)</t>
  </si>
  <si>
    <t>เงินทุนสำรองเงินสะสม</t>
  </si>
  <si>
    <t>เงินรายรับ (หมายเหตุ 1)</t>
  </si>
  <si>
    <t>รายงานรายรับจริงตามงบประมาณ</t>
  </si>
  <si>
    <t>ปีงบประมาณ พ.ศ. 2559</t>
  </si>
  <si>
    <t>(หมายเหตุ 1)</t>
  </si>
  <si>
    <t>ประเภท</t>
  </si>
  <si>
    <t>รวมรับตั้งแต่ต้นปี</t>
  </si>
  <si>
    <t>1.  หมวดภาษีอากร</t>
  </si>
  <si>
    <t>ภาษีโรงเรือนและที่ดิน</t>
  </si>
  <si>
    <t>ภาษีบำรุงท้องที่</t>
  </si>
  <si>
    <t>ภาษีป้าย</t>
  </si>
  <si>
    <t>อากรรังนกอีแอ่น</t>
  </si>
  <si>
    <t>2.  หมวดค่าธรรมเนียม ค่าปรับ และใบอนุญาต</t>
  </si>
  <si>
    <t>ค่าธรรมเนียมเกี่ยวกับการควบคุมอาคาร</t>
  </si>
  <si>
    <t>ค่าธรรมเนียมเก็บขนขยะมูลฝอย</t>
  </si>
  <si>
    <t>ค่าธรรมเนียมเกี่ยวกับทะเบียนราษฎร</t>
  </si>
  <si>
    <t>ค่าธรรมเนียมจดทะเบียนพาณิชย์</t>
  </si>
  <si>
    <t>ค่าปรับผู้กระทำผิดกฎหมายจราจรทางบก</t>
  </si>
  <si>
    <t>ค่าปรับการผิดสัญญา</t>
  </si>
  <si>
    <t>ค่าใบอนุญาตประกอบการค้าสำหรับกิจการที่เป็นอันตรายต่อสุขภาพ</t>
  </si>
  <si>
    <t>ค่าใบอนุญาตจัดตั้งสถานที่จำหน่ายอาหารหรือสถานที่สะสมอาหารฯ</t>
  </si>
  <si>
    <t>ค่าใบอนุญาตให้ตั้งตลาดเอกชน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</si>
  <si>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</si>
  <si>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</si>
  <si>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ค่าใบอนุญาตอื่นๆ</t>
  </si>
  <si>
    <t>3.  หมวดรายได้จากทรัพย์สิน</t>
  </si>
  <si>
    <t>ค่าเช่าที่ดิน</t>
  </si>
  <si>
    <t>ค่าเช่าหรือบริการสถานที่</t>
  </si>
  <si>
    <t>ดอกเบี้ย</t>
  </si>
  <si>
    <t>4.  หมวดรายได้จากสาธารณูปโภคและการพาณิชย์</t>
  </si>
  <si>
    <t>รายได้หรือเงินสะสมจากการโอนกิจการสาธารณูปโภคหรือการพาณิชย์</t>
  </si>
  <si>
    <t>รายได้จากสาธารณูปโภคและการพาณิชย์</t>
  </si>
  <si>
    <t>5.  หมวดรายได้เบ็ดเตล็ด</t>
  </si>
  <si>
    <t>ค่าขายแบบแปลน</t>
  </si>
  <si>
    <t>รายได้เบ็ดเตล็ดอื่นๆ</t>
  </si>
  <si>
    <t>รวมหมวดรายได้จัดเก็บเอง 1+2+3+4+5</t>
  </si>
  <si>
    <t>รายได้ที่รัฐบาลเก็บแล้วจัดสรรให้ อปท.</t>
  </si>
  <si>
    <t>6.  หมวดภาษีจัดสรร</t>
  </si>
  <si>
    <t>ภาษีและค่าธรรมเนียมรถยนต์และล้อเลื่อน</t>
  </si>
  <si>
    <t>ภาษีมูลค่าเพิ่มตาม พ.ร.บ. กำหนดแผนฯ</t>
  </si>
  <si>
    <t>ภาษีมูลค่าเพิ่มตาม พ.ร.บ.จัดสรรรายได้ฯ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</si>
  <si>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</si>
  <si>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</si>
  <si>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</si>
  <si>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</si>
  <si>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</si>
  <si>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</si>
  <si>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รายได้ที่รัฐบาลอุดหนุนให้องค์กรปกครองส่วนท้องถิ่น</t>
  </si>
  <si>
    <t>7.  หมวดเงินอุดหนุนทั่วไป</t>
  </si>
  <si>
    <t>เงินอุดหนุนทั่วไป สำหรับดำเนินการตามอำนาจหน้าที่และภารกิจถ่ายโอนเลือกทำ</t>
  </si>
  <si>
    <t>เงินอุดหนุนทั่วไป-สนับสนุนอาหารเสริม(นม)</t>
  </si>
  <si>
    <t>เงินอุดหนุนทั่วไป-สนับสนุนอาหารกลางวัน</t>
  </si>
  <si>
    <t>เงินอุดหนุนทั่วไป-ส่งเสริมศักยภาพการจัดการศึกษา</t>
  </si>
  <si>
    <t>เงินอุดหนุนทั่วไป-สนับสนุนการบริการสาธารณสุข</t>
  </si>
  <si>
    <t>เงินอุดหนุนทั่วไป</t>
  </si>
  <si>
    <t>รายได้ที่รัฐบาลอุดหนุนโดยระบุวัตถุประสงค์</t>
  </si>
  <si>
    <t>8.  เงินอุดหนุนทั่วไป ระบุวัตถุประสงค์</t>
  </si>
  <si>
    <t>เงินอุดหนุนทั่วไป-เงินเดือนพนักงาน</t>
  </si>
  <si>
    <t xml:space="preserve">เงินอุดหนุนทั่วไป-เงินเดือนพนักงานจ้าง </t>
  </si>
  <si>
    <t xml:space="preserve">เงินอุดหนุนทั่วไป-ประกันสังคม </t>
  </si>
  <si>
    <t>เงินอุดหนุนทั่วไป-ค่าจัดการเรียนการสอน</t>
  </si>
  <si>
    <t>เงินอุดหนุนทั่วไป-เบี้ยยังชีพผู้สูงอายุ</t>
  </si>
  <si>
    <t xml:space="preserve">เงินอุดหนุนทั่วไป-เบี้ยยังชีพความพิการ </t>
  </si>
  <si>
    <t>รวมเงินอุดหนุนทั่วไป ระบุวัตถุประสงค์</t>
  </si>
  <si>
    <t>ปีงบประมาณ  2559   ประจำเดือน  มกราคม 2559</t>
  </si>
  <si>
    <t xml:space="preserve">  เงินอุดหนุนทั่วไป</t>
  </si>
  <si>
    <t>ณ  วันที่  29  มกราคม  2559</t>
  </si>
  <si>
    <t>เงินรับฝาก - ค่าใช้จ่ายอื่น</t>
  </si>
  <si>
    <t>ณ วันที่  29  มกราคม  2559</t>
  </si>
  <si>
    <t xml:space="preserve">  ประจำเดือน  มกราคม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</si>
</sst>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(* #,##0_);_(* \(#,##0\);_(* &quot;-&quot;??_);_(@_)"/>
    <numFmt numFmtId="204" formatCode="#,##0;[Red]#,##0"/>
    <numFmt numFmtId="205" formatCode="#,##0.00_ ;\-#,##0.00\ "/>
  </numFmts>
  <fonts count="78">
    <font>
      <sz val="10"/>
      <name val="Arial"/>
      <family val="0"/>
    </font>
    <font>
      <b/>
      <sz val="14"/>
      <name val="AngsanaUPC"/>
      <family val="1"/>
    </font>
    <font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2"/>
      <name val="Arial"/>
      <family val="2"/>
    </font>
    <font>
      <b/>
      <sz val="12"/>
      <name val="AngsanaUP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ngsanaUPC"/>
      <family val="1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u val="single"/>
      <sz val="12"/>
      <name val="TH SarabunPSK"/>
      <family val="2"/>
    </font>
    <font>
      <b/>
      <u val="single"/>
      <sz val="14"/>
      <name val="TH SarabunPSK"/>
      <family val="2"/>
    </font>
    <font>
      <sz val="14"/>
      <color indexed="8"/>
      <name val="TH SarabunPSK"/>
      <family val="2"/>
    </font>
    <font>
      <sz val="14"/>
      <name val="AngsanaUPC"/>
      <family val="1"/>
    </font>
    <font>
      <sz val="14"/>
      <name val="Cordia New"/>
      <family val="2"/>
    </font>
    <font>
      <sz val="12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sz val="16"/>
      <color indexed="8"/>
      <name val="TH SarabunPSK"/>
      <family val="2"/>
    </font>
    <font>
      <sz val="13.5"/>
      <color indexed="8"/>
      <name val="TH SarabunPSK"/>
      <family val="2"/>
    </font>
    <font>
      <b/>
      <sz val="12.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C0000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rgb="FF000000"/>
      <name val="TH SarabunPSK"/>
      <family val="2"/>
    </font>
    <font>
      <b/>
      <sz val="13"/>
      <color rgb="FF000000"/>
      <name val="TH SarabunPSK"/>
      <family val="2"/>
    </font>
    <font>
      <b/>
      <sz val="14"/>
      <color theme="1"/>
      <name val="TH SarabunPSK"/>
      <family val="2"/>
    </font>
    <font>
      <sz val="13"/>
      <color rgb="FF000000"/>
      <name val="TH SarabunPSK"/>
      <family val="2"/>
    </font>
    <font>
      <sz val="16"/>
      <color theme="1"/>
      <name val="TH SarabunPSK"/>
      <family val="2"/>
    </font>
    <font>
      <sz val="13.5"/>
      <color rgb="FF000000"/>
      <name val="TH SarabunPSK"/>
      <family val="2"/>
    </font>
    <font>
      <sz val="12"/>
      <color rgb="FF000000"/>
      <name val="TH SarabunPSK"/>
      <family val="2"/>
    </font>
    <font>
      <sz val="13"/>
      <color theme="1"/>
      <name val="TH SarabunPSK"/>
      <family val="2"/>
    </font>
    <font>
      <b/>
      <sz val="12.5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medium"/>
      <bottom style="hair"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hair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203" fontId="6" fillId="0" borderId="0" xfId="38" applyNumberFormat="1" applyFont="1" applyBorder="1" applyAlignment="1">
      <alignment/>
    </xf>
    <xf numFmtId="49" fontId="1" fillId="0" borderId="0" xfId="38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0" fillId="0" borderId="0" xfId="38" applyNumberFormat="1" applyFont="1" applyBorder="1" applyAlignment="1">
      <alignment horizontal="center"/>
    </xf>
    <xf numFmtId="194" fontId="7" fillId="0" borderId="0" xfId="38" applyFont="1" applyAlignment="1">
      <alignment horizontal="center"/>
    </xf>
    <xf numFmtId="4" fontId="7" fillId="0" borderId="0" xfId="0" applyNumberFormat="1" applyFont="1" applyAlignment="1">
      <alignment/>
    </xf>
    <xf numFmtId="194" fontId="7" fillId="0" borderId="0" xfId="38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194" fontId="7" fillId="0" borderId="0" xfId="38" applyFont="1" applyAlignment="1">
      <alignment/>
    </xf>
    <xf numFmtId="194" fontId="7" fillId="0" borderId="0" xfId="38" applyFont="1" applyAlignment="1">
      <alignment/>
    </xf>
    <xf numFmtId="194" fontId="7" fillId="0" borderId="0" xfId="38" applyNumberFormat="1" applyFont="1" applyAlignment="1">
      <alignment horizontal="center"/>
    </xf>
    <xf numFmtId="194" fontId="7" fillId="0" borderId="0" xfId="38" applyFont="1" applyAlignment="1">
      <alignment horizontal="right"/>
    </xf>
    <xf numFmtId="49" fontId="13" fillId="0" borderId="0" xfId="38" applyNumberFormat="1" applyFont="1" applyBorder="1" applyAlignment="1">
      <alignment horizontal="center"/>
    </xf>
    <xf numFmtId="194" fontId="7" fillId="0" borderId="0" xfId="38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194" fontId="8" fillId="0" borderId="0" xfId="38" applyFont="1" applyBorder="1" applyAlignment="1">
      <alignment horizontal="center"/>
    </xf>
    <xf numFmtId="194" fontId="8" fillId="0" borderId="0" xfId="38" applyNumberFormat="1" applyFont="1" applyBorder="1" applyAlignment="1">
      <alignment shrinkToFi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94" fontId="16" fillId="0" borderId="10" xfId="0" applyNumberFormat="1" applyFont="1" applyBorder="1" applyAlignment="1">
      <alignment/>
    </xf>
    <xf numFmtId="203" fontId="15" fillId="0" borderId="11" xfId="38" applyNumberFormat="1" applyFont="1" applyBorder="1" applyAlignment="1">
      <alignment/>
    </xf>
    <xf numFmtId="43" fontId="16" fillId="0" borderId="11" xfId="0" applyNumberFormat="1" applyFont="1" applyBorder="1" applyAlignment="1">
      <alignment/>
    </xf>
    <xf numFmtId="43" fontId="16" fillId="0" borderId="12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horizontal="center"/>
    </xf>
    <xf numFmtId="194" fontId="17" fillId="0" borderId="13" xfId="38" applyFont="1" applyBorder="1" applyAlignment="1">
      <alignment/>
    </xf>
    <xf numFmtId="194" fontId="18" fillId="0" borderId="0" xfId="38" applyFont="1" applyBorder="1" applyAlignment="1">
      <alignment/>
    </xf>
    <xf numFmtId="194" fontId="18" fillId="0" borderId="0" xfId="38" applyFont="1" applyAlignment="1">
      <alignment/>
    </xf>
    <xf numFmtId="194" fontId="17" fillId="0" borderId="14" xfId="38" applyFont="1" applyBorder="1" applyAlignment="1">
      <alignment horizontal="center" shrinkToFit="1"/>
    </xf>
    <xf numFmtId="194" fontId="17" fillId="0" borderId="13" xfId="38" applyNumberFormat="1" applyFont="1" applyBorder="1" applyAlignment="1">
      <alignment shrinkToFit="1"/>
    </xf>
    <xf numFmtId="0" fontId="16" fillId="0" borderId="15" xfId="0" applyFont="1" applyBorder="1" applyAlignment="1">
      <alignment horizontal="center"/>
    </xf>
    <xf numFmtId="205" fontId="16" fillId="0" borderId="0" xfId="0" applyNumberFormat="1" applyFont="1" applyBorder="1" applyAlignment="1">
      <alignment horizontal="center"/>
    </xf>
    <xf numFmtId="194" fontId="15" fillId="0" borderId="0" xfId="0" applyNumberFormat="1" applyFont="1" applyAlignment="1">
      <alignment/>
    </xf>
    <xf numFmtId="203" fontId="15" fillId="0" borderId="10" xfId="38" applyNumberFormat="1" applyFont="1" applyBorder="1" applyAlignment="1">
      <alignment/>
    </xf>
    <xf numFmtId="43" fontId="15" fillId="0" borderId="0" xfId="0" applyNumberFormat="1" applyFont="1" applyAlignment="1">
      <alignment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/>
    </xf>
    <xf numFmtId="0" fontId="15" fillId="0" borderId="17" xfId="0" applyFont="1" applyBorder="1" applyAlignment="1">
      <alignment/>
    </xf>
    <xf numFmtId="4" fontId="15" fillId="0" borderId="0" xfId="0" applyNumberFormat="1" applyFont="1" applyAlignment="1">
      <alignment/>
    </xf>
    <xf numFmtId="194" fontId="16" fillId="0" borderId="10" xfId="38" applyFont="1" applyBorder="1" applyAlignment="1">
      <alignment/>
    </xf>
    <xf numFmtId="0" fontId="16" fillId="0" borderId="10" xfId="0" applyFont="1" applyBorder="1" applyAlignment="1">
      <alignment/>
    </xf>
    <xf numFmtId="0" fontId="15" fillId="0" borderId="19" xfId="0" applyFont="1" applyBorder="1" applyAlignment="1">
      <alignment/>
    </xf>
    <xf numFmtId="3" fontId="15" fillId="0" borderId="20" xfId="0" applyNumberFormat="1" applyFont="1" applyBorder="1" applyAlignment="1">
      <alignment/>
    </xf>
    <xf numFmtId="3" fontId="16" fillId="0" borderId="19" xfId="0" applyNumberFormat="1" applyFont="1" applyBorder="1" applyAlignment="1">
      <alignment/>
    </xf>
    <xf numFmtId="0" fontId="15" fillId="0" borderId="21" xfId="0" applyFont="1" applyBorder="1" applyAlignment="1">
      <alignment/>
    </xf>
    <xf numFmtId="194" fontId="16" fillId="0" borderId="21" xfId="38" applyFont="1" applyBorder="1" applyAlignment="1">
      <alignment/>
    </xf>
    <xf numFmtId="0" fontId="16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20" fillId="0" borderId="22" xfId="0" applyFont="1" applyBorder="1" applyAlignment="1">
      <alignment/>
    </xf>
    <xf numFmtId="194" fontId="21" fillId="0" borderId="22" xfId="38" applyFont="1" applyBorder="1" applyAlignment="1">
      <alignment horizontal="right"/>
    </xf>
    <xf numFmtId="0" fontId="15" fillId="0" borderId="22" xfId="0" applyFont="1" applyBorder="1" applyAlignment="1">
      <alignment horizontal="left" vertical="justify" shrinkToFit="1"/>
    </xf>
    <xf numFmtId="0" fontId="15" fillId="0" borderId="22" xfId="0" applyFont="1" applyBorder="1" applyAlignment="1">
      <alignment/>
    </xf>
    <xf numFmtId="49" fontId="15" fillId="0" borderId="22" xfId="0" applyNumberFormat="1" applyFont="1" applyBorder="1" applyAlignment="1">
      <alignment horizontal="center"/>
    </xf>
    <xf numFmtId="194" fontId="21" fillId="0" borderId="22" xfId="38" applyFont="1" applyBorder="1" applyAlignment="1">
      <alignment horizontal="center"/>
    </xf>
    <xf numFmtId="194" fontId="21" fillId="0" borderId="22" xfId="38" applyFont="1" applyBorder="1" applyAlignment="1">
      <alignment/>
    </xf>
    <xf numFmtId="194" fontId="15" fillId="0" borderId="22" xfId="38" applyFont="1" applyBorder="1" applyAlignment="1">
      <alignment/>
    </xf>
    <xf numFmtId="194" fontId="15" fillId="0" borderId="22" xfId="38" applyFont="1" applyBorder="1" applyAlignment="1">
      <alignment horizontal="center"/>
    </xf>
    <xf numFmtId="3" fontId="15" fillId="0" borderId="22" xfId="0" applyNumberFormat="1" applyFont="1" applyBorder="1" applyAlignment="1">
      <alignment horizontal="left"/>
    </xf>
    <xf numFmtId="204" fontId="15" fillId="0" borderId="22" xfId="0" applyNumberFormat="1" applyFont="1" applyBorder="1" applyAlignment="1">
      <alignment horizontal="left"/>
    </xf>
    <xf numFmtId="204" fontId="15" fillId="0" borderId="22" xfId="0" applyNumberFormat="1" applyFont="1" applyBorder="1" applyAlignment="1">
      <alignment/>
    </xf>
    <xf numFmtId="203" fontId="16" fillId="0" borderId="23" xfId="0" applyNumberFormat="1" applyFont="1" applyBorder="1" applyAlignment="1">
      <alignment horizontal="center"/>
    </xf>
    <xf numFmtId="203" fontId="16" fillId="0" borderId="14" xfId="38" applyNumberFormat="1" applyFont="1" applyBorder="1" applyAlignment="1">
      <alignment horizontal="center"/>
    </xf>
    <xf numFmtId="203" fontId="16" fillId="0" borderId="0" xfId="38" applyNumberFormat="1" applyFont="1" applyAlignment="1">
      <alignment horizontal="center"/>
    </xf>
    <xf numFmtId="203" fontId="16" fillId="0" borderId="0" xfId="38" applyNumberFormat="1" applyFont="1" applyBorder="1" applyAlignment="1">
      <alignment horizontal="center"/>
    </xf>
    <xf numFmtId="3" fontId="15" fillId="0" borderId="21" xfId="0" applyNumberFormat="1" applyFont="1" applyBorder="1" applyAlignment="1">
      <alignment/>
    </xf>
    <xf numFmtId="0" fontId="16" fillId="0" borderId="21" xfId="0" applyFont="1" applyBorder="1" applyAlignment="1">
      <alignment horizontal="left"/>
    </xf>
    <xf numFmtId="4" fontId="15" fillId="0" borderId="22" xfId="0" applyNumberFormat="1" applyFont="1" applyBorder="1" applyAlignment="1">
      <alignment/>
    </xf>
    <xf numFmtId="0" fontId="15" fillId="0" borderId="22" xfId="0" applyFont="1" applyBorder="1" applyAlignment="1">
      <alignment horizontal="justify"/>
    </xf>
    <xf numFmtId="4" fontId="15" fillId="0" borderId="22" xfId="38" applyNumberFormat="1" applyFont="1" applyBorder="1" applyAlignment="1">
      <alignment horizontal="right"/>
    </xf>
    <xf numFmtId="0" fontId="15" fillId="0" borderId="22" xfId="0" applyFont="1" applyBorder="1" applyAlignment="1">
      <alignment horizontal="left"/>
    </xf>
    <xf numFmtId="194" fontId="15" fillId="0" borderId="22" xfId="38" applyFont="1" applyBorder="1" applyAlignment="1">
      <alignment horizontal="right"/>
    </xf>
    <xf numFmtId="203" fontId="15" fillId="0" borderId="22" xfId="38" applyNumberFormat="1" applyFont="1" applyBorder="1" applyAlignment="1">
      <alignment horizontal="left"/>
    </xf>
    <xf numFmtId="0" fontId="18" fillId="0" borderId="24" xfId="0" applyFont="1" applyBorder="1" applyAlignment="1">
      <alignment/>
    </xf>
    <xf numFmtId="194" fontId="18" fillId="0" borderId="24" xfId="38" applyFont="1" applyBorder="1" applyAlignment="1">
      <alignment horizontal="center"/>
    </xf>
    <xf numFmtId="0" fontId="17" fillId="0" borderId="24" xfId="0" applyFont="1" applyBorder="1" applyAlignment="1">
      <alignment/>
    </xf>
    <xf numFmtId="0" fontId="18" fillId="0" borderId="25" xfId="0" applyFont="1" applyBorder="1" applyAlignment="1">
      <alignment/>
    </xf>
    <xf numFmtId="194" fontId="18" fillId="0" borderId="25" xfId="38" applyFont="1" applyBorder="1" applyAlignment="1">
      <alignment horizontal="center"/>
    </xf>
    <xf numFmtId="0" fontId="17" fillId="0" borderId="25" xfId="0" applyFont="1" applyBorder="1" applyAlignment="1">
      <alignment/>
    </xf>
    <xf numFmtId="0" fontId="18" fillId="0" borderId="26" xfId="0" applyFont="1" applyBorder="1" applyAlignment="1">
      <alignment/>
    </xf>
    <xf numFmtId="194" fontId="18" fillId="0" borderId="24" xfId="38" applyFont="1" applyBorder="1" applyAlignment="1">
      <alignment/>
    </xf>
    <xf numFmtId="194" fontId="18" fillId="0" borderId="25" xfId="38" applyFont="1" applyBorder="1" applyAlignment="1">
      <alignment/>
    </xf>
    <xf numFmtId="194" fontId="18" fillId="0" borderId="25" xfId="38" applyFont="1" applyBorder="1" applyAlignment="1">
      <alignment horizontal="right"/>
    </xf>
    <xf numFmtId="0" fontId="18" fillId="0" borderId="25" xfId="0" applyFont="1" applyBorder="1" applyAlignment="1">
      <alignment/>
    </xf>
    <xf numFmtId="0" fontId="18" fillId="0" borderId="25" xfId="0" applyFont="1" applyBorder="1" applyAlignment="1">
      <alignment horizontal="left"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194" fontId="18" fillId="0" borderId="26" xfId="38" applyFont="1" applyBorder="1" applyAlignment="1">
      <alignment/>
    </xf>
    <xf numFmtId="194" fontId="16" fillId="0" borderId="16" xfId="38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194" fontId="15" fillId="0" borderId="21" xfId="38" applyFont="1" applyBorder="1" applyAlignment="1">
      <alignment/>
    </xf>
    <xf numFmtId="0" fontId="15" fillId="0" borderId="27" xfId="0" applyFont="1" applyBorder="1" applyAlignment="1">
      <alignment/>
    </xf>
    <xf numFmtId="194" fontId="15" fillId="0" borderId="27" xfId="38" applyFont="1" applyBorder="1" applyAlignment="1">
      <alignment horizontal="center"/>
    </xf>
    <xf numFmtId="3" fontId="15" fillId="0" borderId="27" xfId="0" applyNumberFormat="1" applyFont="1" applyBorder="1" applyAlignment="1">
      <alignment horizontal="left"/>
    </xf>
    <xf numFmtId="49" fontId="15" fillId="0" borderId="27" xfId="0" applyNumberFormat="1" applyFont="1" applyBorder="1" applyAlignment="1">
      <alignment horizontal="center"/>
    </xf>
    <xf numFmtId="4" fontId="16" fillId="0" borderId="21" xfId="38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16" fillId="0" borderId="23" xfId="0" applyFont="1" applyBorder="1" applyAlignment="1">
      <alignment horizontal="center" vertical="center"/>
    </xf>
    <xf numFmtId="0" fontId="15" fillId="0" borderId="28" xfId="0" applyFont="1" applyBorder="1" applyAlignment="1">
      <alignment/>
    </xf>
    <xf numFmtId="0" fontId="15" fillId="0" borderId="25" xfId="0" applyFont="1" applyBorder="1" applyAlignment="1">
      <alignment/>
    </xf>
    <xf numFmtId="0" fontId="16" fillId="0" borderId="22" xfId="0" applyFont="1" applyBorder="1" applyAlignment="1">
      <alignment horizontal="center"/>
    </xf>
    <xf numFmtId="0" fontId="22" fillId="0" borderId="0" xfId="0" applyFont="1" applyBorder="1" applyAlignment="1">
      <alignment/>
    </xf>
    <xf numFmtId="194" fontId="15" fillId="0" borderId="28" xfId="38" applyFont="1" applyBorder="1" applyAlignment="1">
      <alignment horizontal="right"/>
    </xf>
    <xf numFmtId="0" fontId="15" fillId="0" borderId="22" xfId="0" applyFont="1" applyBorder="1" applyAlignment="1" quotePrefix="1">
      <alignment horizontal="center"/>
    </xf>
    <xf numFmtId="194" fontId="15" fillId="0" borderId="28" xfId="38" applyFont="1" applyBorder="1" applyAlignment="1">
      <alignment/>
    </xf>
    <xf numFmtId="194" fontId="22" fillId="0" borderId="0" xfId="38" applyFont="1" applyBorder="1" applyAlignment="1">
      <alignment/>
    </xf>
    <xf numFmtId="0" fontId="15" fillId="0" borderId="28" xfId="0" applyFont="1" applyBorder="1" applyAlignment="1">
      <alignment horizontal="right"/>
    </xf>
    <xf numFmtId="0" fontId="16" fillId="0" borderId="25" xfId="0" applyFont="1" applyBorder="1" applyAlignment="1">
      <alignment horizontal="center"/>
    </xf>
    <xf numFmtId="194" fontId="15" fillId="0" borderId="28" xfId="38" applyFont="1" applyBorder="1" applyAlignment="1" quotePrefix="1">
      <alignment horizontal="right"/>
    </xf>
    <xf numFmtId="9" fontId="22" fillId="0" borderId="0" xfId="48" applyFont="1" applyBorder="1" applyAlignment="1">
      <alignment/>
    </xf>
    <xf numFmtId="194" fontId="1" fillId="0" borderId="0" xfId="38" applyFont="1" applyBorder="1" applyAlignment="1">
      <alignment/>
    </xf>
    <xf numFmtId="203" fontId="22" fillId="0" borderId="0" xfId="38" applyNumberFormat="1" applyFont="1" applyBorder="1" applyAlignment="1">
      <alignment/>
    </xf>
    <xf numFmtId="0" fontId="22" fillId="0" borderId="0" xfId="0" applyFont="1" applyBorder="1" applyAlignment="1" quotePrefix="1">
      <alignment horizontal="center"/>
    </xf>
    <xf numFmtId="0" fontId="22" fillId="0" borderId="0" xfId="0" applyFont="1" applyBorder="1" applyAlignment="1">
      <alignment horizontal="center"/>
    </xf>
    <xf numFmtId="3" fontId="22" fillId="0" borderId="0" xfId="0" applyNumberFormat="1" applyFont="1" applyBorder="1" applyAlignment="1">
      <alignment/>
    </xf>
    <xf numFmtId="0" fontId="16" fillId="0" borderId="28" xfId="0" applyFont="1" applyBorder="1" applyAlignment="1">
      <alignment horizontal="center"/>
    </xf>
    <xf numFmtId="203" fontId="16" fillId="0" borderId="28" xfId="38" applyNumberFormat="1" applyFont="1" applyBorder="1" applyAlignment="1">
      <alignment/>
    </xf>
    <xf numFmtId="203" fontId="15" fillId="0" borderId="28" xfId="38" applyNumberFormat="1" applyFont="1" applyBorder="1" applyAlignment="1">
      <alignment/>
    </xf>
    <xf numFmtId="203" fontId="22" fillId="0" borderId="0" xfId="38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15" fillId="0" borderId="28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66" fillId="0" borderId="22" xfId="0" applyFont="1" applyBorder="1" applyAlignment="1" quotePrefix="1">
      <alignment horizontal="center"/>
    </xf>
    <xf numFmtId="0" fontId="15" fillId="0" borderId="29" xfId="0" applyFont="1" applyBorder="1" applyAlignment="1">
      <alignment/>
    </xf>
    <xf numFmtId="0" fontId="15" fillId="0" borderId="11" xfId="0" applyFont="1" applyBorder="1" applyAlignment="1" quotePrefix="1">
      <alignment horizontal="center"/>
    </xf>
    <xf numFmtId="0" fontId="16" fillId="0" borderId="29" xfId="0" applyFont="1" applyBorder="1" applyAlignment="1">
      <alignment horizontal="center"/>
    </xf>
    <xf numFmtId="194" fontId="15" fillId="0" borderId="11" xfId="38" applyFont="1" applyBorder="1" applyAlignment="1">
      <alignment horizontal="right"/>
    </xf>
    <xf numFmtId="0" fontId="15" fillId="0" borderId="30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194" fontId="16" fillId="0" borderId="12" xfId="38" applyFont="1" applyBorder="1" applyAlignment="1">
      <alignment/>
    </xf>
    <xf numFmtId="43" fontId="4" fillId="0" borderId="0" xfId="0" applyNumberFormat="1" applyFont="1" applyAlignment="1">
      <alignment/>
    </xf>
    <xf numFmtId="0" fontId="15" fillId="0" borderId="0" xfId="0" applyFont="1" applyAlignment="1">
      <alignment/>
    </xf>
    <xf numFmtId="43" fontId="15" fillId="0" borderId="0" xfId="0" applyNumberFormat="1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 quotePrefix="1">
      <alignment horizontal="center"/>
    </xf>
    <xf numFmtId="194" fontId="15" fillId="0" borderId="0" xfId="38" applyFont="1" applyBorder="1" applyAlignment="1">
      <alignment horizontal="right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194" fontId="15" fillId="0" borderId="0" xfId="38" applyFont="1" applyBorder="1" applyAlignment="1">
      <alignment/>
    </xf>
    <xf numFmtId="194" fontId="15" fillId="0" borderId="0" xfId="38" applyFont="1" applyBorder="1" applyAlignment="1" quotePrefix="1">
      <alignment horizontal="right"/>
    </xf>
    <xf numFmtId="203" fontId="15" fillId="0" borderId="0" xfId="38" applyNumberFormat="1" applyFont="1" applyBorder="1" applyAlignment="1">
      <alignment/>
    </xf>
    <xf numFmtId="194" fontId="15" fillId="0" borderId="0" xfId="38" applyFont="1" applyBorder="1" applyAlignment="1">
      <alignment horizontal="center"/>
    </xf>
    <xf numFmtId="203" fontId="16" fillId="0" borderId="0" xfId="38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194" fontId="16" fillId="0" borderId="0" xfId="38" applyFont="1" applyBorder="1" applyAlignment="1">
      <alignment/>
    </xf>
    <xf numFmtId="0" fontId="4" fillId="0" borderId="0" xfId="0" applyFont="1" applyBorder="1" applyAlignment="1">
      <alignment/>
    </xf>
    <xf numFmtId="0" fontId="67" fillId="0" borderId="0" xfId="0" applyFont="1" applyAlignment="1">
      <alignment wrapText="1" readingOrder="1"/>
    </xf>
    <xf numFmtId="0" fontId="68" fillId="0" borderId="0" xfId="0" applyFont="1" applyAlignment="1">
      <alignment/>
    </xf>
    <xf numFmtId="0" fontId="69" fillId="0" borderId="0" xfId="0" applyFont="1" applyAlignment="1">
      <alignment wrapText="1" readingOrder="1"/>
    </xf>
    <xf numFmtId="0" fontId="69" fillId="0" borderId="15" xfId="0" applyFont="1" applyBorder="1" applyAlignment="1">
      <alignment wrapText="1" readingOrder="1"/>
    </xf>
    <xf numFmtId="0" fontId="69" fillId="0" borderId="10" xfId="0" applyFont="1" applyBorder="1" applyAlignment="1">
      <alignment horizontal="center" vertical="center" wrapText="1" readingOrder="1"/>
    </xf>
    <xf numFmtId="0" fontId="70" fillId="0" borderId="10" xfId="0" applyFont="1" applyBorder="1" applyAlignment="1">
      <alignment horizontal="center" vertical="center" wrapText="1" readingOrder="1"/>
    </xf>
    <xf numFmtId="43" fontId="70" fillId="0" borderId="10" xfId="38" applyNumberFormat="1" applyFont="1" applyBorder="1" applyAlignment="1">
      <alignment horizontal="center" vertical="center" wrapText="1" readingOrder="1"/>
    </xf>
    <xf numFmtId="0" fontId="71" fillId="0" borderId="31" xfId="0" applyFont="1" applyBorder="1" applyAlignment="1">
      <alignment/>
    </xf>
    <xf numFmtId="0" fontId="69" fillId="0" borderId="32" xfId="0" applyFont="1" applyBorder="1" applyAlignment="1">
      <alignment horizontal="center" vertical="center" wrapText="1" readingOrder="1"/>
    </xf>
    <xf numFmtId="0" fontId="69" fillId="0" borderId="21" xfId="0" applyFont="1" applyBorder="1" applyAlignment="1">
      <alignment horizontal="center" wrapText="1" readingOrder="1"/>
    </xf>
    <xf numFmtId="0" fontId="70" fillId="0" borderId="21" xfId="0" applyFont="1" applyBorder="1" applyAlignment="1">
      <alignment horizontal="center" wrapText="1" readingOrder="1"/>
    </xf>
    <xf numFmtId="43" fontId="70" fillId="0" borderId="21" xfId="38" applyNumberFormat="1" applyFont="1" applyBorder="1" applyAlignment="1">
      <alignment horizontal="center" wrapText="1" readingOrder="1"/>
    </xf>
    <xf numFmtId="0" fontId="68" fillId="0" borderId="0" xfId="0" applyFont="1" applyAlignment="1">
      <alignment/>
    </xf>
    <xf numFmtId="0" fontId="69" fillId="0" borderId="33" xfId="0" applyFont="1" applyBorder="1" applyAlignment="1">
      <alignment horizontal="center" wrapText="1" readingOrder="1"/>
    </xf>
    <xf numFmtId="0" fontId="70" fillId="0" borderId="33" xfId="0" applyFont="1" applyBorder="1" applyAlignment="1">
      <alignment horizontal="center" wrapText="1" readingOrder="1"/>
    </xf>
    <xf numFmtId="43" fontId="70" fillId="0" borderId="33" xfId="38" applyNumberFormat="1" applyFont="1" applyBorder="1" applyAlignment="1">
      <alignment horizontal="center" wrapText="1" readingOrder="1"/>
    </xf>
    <xf numFmtId="0" fontId="68" fillId="0" borderId="28" xfId="0" applyFont="1" applyBorder="1" applyAlignment="1">
      <alignment/>
    </xf>
    <xf numFmtId="0" fontId="67" fillId="0" borderId="34" xfId="0" applyFont="1" applyBorder="1" applyAlignment="1">
      <alignment horizontal="left" vertical="top" wrapText="1" readingOrder="1"/>
    </xf>
    <xf numFmtId="0" fontId="72" fillId="0" borderId="22" xfId="0" applyFont="1" applyBorder="1" applyAlignment="1">
      <alignment horizontal="center" wrapText="1" readingOrder="1"/>
    </xf>
    <xf numFmtId="4" fontId="72" fillId="0" borderId="22" xfId="0" applyNumberFormat="1" applyFont="1" applyBorder="1" applyAlignment="1">
      <alignment horizontal="right" wrapText="1" readingOrder="1"/>
    </xf>
    <xf numFmtId="43" fontId="72" fillId="0" borderId="22" xfId="38" applyNumberFormat="1" applyFont="1" applyBorder="1" applyAlignment="1">
      <alignment horizontal="right" wrapText="1" readingOrder="1"/>
    </xf>
    <xf numFmtId="0" fontId="68" fillId="0" borderId="29" xfId="0" applyFont="1" applyBorder="1" applyAlignment="1">
      <alignment/>
    </xf>
    <xf numFmtId="0" fontId="67" fillId="0" borderId="19" xfId="0" applyFont="1" applyBorder="1" applyAlignment="1">
      <alignment horizontal="left" vertical="top" wrapText="1" readingOrder="1"/>
    </xf>
    <xf numFmtId="0" fontId="72" fillId="0" borderId="11" xfId="0" applyFont="1" applyBorder="1" applyAlignment="1">
      <alignment horizontal="center" wrapText="1" readingOrder="1"/>
    </xf>
    <xf numFmtId="4" fontId="72" fillId="0" borderId="11" xfId="0" applyNumberFormat="1" applyFont="1" applyBorder="1" applyAlignment="1">
      <alignment horizontal="right" wrapText="1" readingOrder="1"/>
    </xf>
    <xf numFmtId="43" fontId="72" fillId="0" borderId="11" xfId="38" applyNumberFormat="1" applyFont="1" applyBorder="1" applyAlignment="1">
      <alignment horizontal="right" wrapText="1" readingOrder="1"/>
    </xf>
    <xf numFmtId="0" fontId="68" fillId="0" borderId="35" xfId="0" applyFont="1" applyBorder="1" applyAlignment="1">
      <alignment/>
    </xf>
    <xf numFmtId="0" fontId="69" fillId="0" borderId="36" xfId="0" applyFont="1" applyBorder="1" applyAlignment="1">
      <alignment horizontal="right" vertical="center" wrapText="1" readingOrder="1"/>
    </xf>
    <xf numFmtId="0" fontId="70" fillId="0" borderId="37" xfId="0" applyFont="1" applyBorder="1" applyAlignment="1">
      <alignment horizontal="center" wrapText="1" readingOrder="1"/>
    </xf>
    <xf numFmtId="4" fontId="70" fillId="0" borderId="37" xfId="0" applyNumberFormat="1" applyFont="1" applyBorder="1" applyAlignment="1">
      <alignment horizontal="right" wrapText="1" readingOrder="1"/>
    </xf>
    <xf numFmtId="43" fontId="70" fillId="0" borderId="37" xfId="38" applyNumberFormat="1" applyFont="1" applyBorder="1" applyAlignment="1">
      <alignment horizontal="right" wrapText="1" readingOrder="1"/>
    </xf>
    <xf numFmtId="0" fontId="70" fillId="0" borderId="38" xfId="0" applyFont="1" applyBorder="1" applyAlignment="1">
      <alignment horizontal="center" wrapText="1" readingOrder="1"/>
    </xf>
    <xf numFmtId="4" fontId="70" fillId="0" borderId="38" xfId="0" applyNumberFormat="1" applyFont="1" applyBorder="1" applyAlignment="1">
      <alignment horizontal="right" wrapText="1" readingOrder="1"/>
    </xf>
    <xf numFmtId="43" fontId="70" fillId="0" borderId="38" xfId="38" applyNumberFormat="1" applyFont="1" applyBorder="1" applyAlignment="1">
      <alignment horizontal="right" wrapText="1" readingOrder="1"/>
    </xf>
    <xf numFmtId="43" fontId="72" fillId="0" borderId="38" xfId="38" applyNumberFormat="1" applyFont="1" applyBorder="1" applyAlignment="1">
      <alignment horizontal="right" wrapText="1" readingOrder="1"/>
    </xf>
    <xf numFmtId="4" fontId="72" fillId="0" borderId="38" xfId="0" applyNumberFormat="1" applyFont="1" applyBorder="1" applyAlignment="1">
      <alignment horizontal="right" wrapText="1" readingOrder="1"/>
    </xf>
    <xf numFmtId="0" fontId="72" fillId="0" borderId="11" xfId="0" applyFont="1" applyBorder="1" applyAlignment="1">
      <alignment horizontal="right" wrapText="1" readingOrder="1"/>
    </xf>
    <xf numFmtId="0" fontId="72" fillId="0" borderId="22" xfId="0" applyFont="1" applyBorder="1" applyAlignment="1">
      <alignment horizontal="right" wrapText="1" readingOrder="1"/>
    </xf>
    <xf numFmtId="0" fontId="68" fillId="0" borderId="39" xfId="0" applyFont="1" applyBorder="1" applyAlignment="1">
      <alignment/>
    </xf>
    <xf numFmtId="0" fontId="67" fillId="0" borderId="40" xfId="0" applyFont="1" applyBorder="1" applyAlignment="1">
      <alignment horizontal="left" vertical="top" wrapText="1" readingOrder="1"/>
    </xf>
    <xf numFmtId="0" fontId="72" fillId="0" borderId="33" xfId="0" applyFont="1" applyBorder="1" applyAlignment="1">
      <alignment horizontal="center" wrapText="1" readingOrder="1"/>
    </xf>
    <xf numFmtId="4" fontId="72" fillId="0" borderId="33" xfId="0" applyNumberFormat="1" applyFont="1" applyBorder="1" applyAlignment="1">
      <alignment horizontal="right" wrapText="1" readingOrder="1"/>
    </xf>
    <xf numFmtId="43" fontId="72" fillId="0" borderId="33" xfId="38" applyNumberFormat="1" applyFont="1" applyBorder="1" applyAlignment="1">
      <alignment horizontal="right" wrapText="1" readingOrder="1"/>
    </xf>
    <xf numFmtId="0" fontId="70" fillId="0" borderId="38" xfId="0" applyFont="1" applyBorder="1" applyAlignment="1">
      <alignment horizontal="right" wrapText="1" readingOrder="1"/>
    </xf>
    <xf numFmtId="4" fontId="72" fillId="0" borderId="41" xfId="0" applyNumberFormat="1" applyFont="1" applyBorder="1" applyAlignment="1">
      <alignment horizontal="right" wrapText="1" readingOrder="1"/>
    </xf>
    <xf numFmtId="0" fontId="68" fillId="0" borderId="42" xfId="0" applyFont="1" applyBorder="1" applyAlignment="1">
      <alignment/>
    </xf>
    <xf numFmtId="4" fontId="72" fillId="0" borderId="43" xfId="0" applyNumberFormat="1" applyFont="1" applyBorder="1" applyAlignment="1">
      <alignment horizontal="right" wrapText="1" readingOrder="1"/>
    </xf>
    <xf numFmtId="0" fontId="68" fillId="0" borderId="44" xfId="0" applyFont="1" applyBorder="1" applyAlignment="1">
      <alignment/>
    </xf>
    <xf numFmtId="43" fontId="72" fillId="0" borderId="27" xfId="38" applyNumberFormat="1" applyFont="1" applyBorder="1" applyAlignment="1">
      <alignment horizontal="right" wrapText="1" readingOrder="1"/>
    </xf>
    <xf numFmtId="4" fontId="72" fillId="0" borderId="45" xfId="0" applyNumberFormat="1" applyFont="1" applyBorder="1" applyAlignment="1">
      <alignment horizontal="right" wrapText="1" readingOrder="1"/>
    </xf>
    <xf numFmtId="0" fontId="68" fillId="0" borderId="46" xfId="0" applyFont="1" applyBorder="1" applyAlignment="1">
      <alignment/>
    </xf>
    <xf numFmtId="43" fontId="72" fillId="0" borderId="37" xfId="38" applyNumberFormat="1" applyFont="1" applyBorder="1" applyAlignment="1">
      <alignment horizontal="right" wrapText="1" readingOrder="1"/>
    </xf>
    <xf numFmtId="43" fontId="70" fillId="0" borderId="47" xfId="38" applyNumberFormat="1" applyFont="1" applyBorder="1" applyAlignment="1">
      <alignment horizontal="right" wrapText="1" readingOrder="1"/>
    </xf>
    <xf numFmtId="0" fontId="70" fillId="0" borderId="22" xfId="0" applyFont="1" applyBorder="1" applyAlignment="1">
      <alignment horizontal="center" wrapText="1" readingOrder="1"/>
    </xf>
    <xf numFmtId="4" fontId="70" fillId="0" borderId="22" xfId="0" applyNumberFormat="1" applyFont="1" applyBorder="1" applyAlignment="1">
      <alignment horizontal="right" wrapText="1" readingOrder="1"/>
    </xf>
    <xf numFmtId="43" fontId="70" fillId="0" borderId="22" xfId="38" applyNumberFormat="1" applyFont="1" applyBorder="1" applyAlignment="1">
      <alignment horizontal="right" wrapText="1" readingOrder="1"/>
    </xf>
    <xf numFmtId="4" fontId="72" fillId="0" borderId="37" xfId="0" applyNumberFormat="1" applyFont="1" applyBorder="1" applyAlignment="1">
      <alignment horizontal="right" wrapText="1" readingOrder="1"/>
    </xf>
    <xf numFmtId="0" fontId="68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74" fillId="0" borderId="34" xfId="0" applyFont="1" applyBorder="1" applyAlignment="1">
      <alignment horizontal="left" vertical="top" wrapText="1" readingOrder="1"/>
    </xf>
    <xf numFmtId="0" fontId="72" fillId="0" borderId="34" xfId="0" applyFont="1" applyBorder="1" applyAlignment="1">
      <alignment horizontal="left" vertical="top" wrapText="1" readingOrder="1"/>
    </xf>
    <xf numFmtId="0" fontId="75" fillId="0" borderId="34" xfId="0" applyFont="1" applyBorder="1" applyAlignment="1">
      <alignment horizontal="left" vertical="top" wrapText="1" readingOrder="1"/>
    </xf>
    <xf numFmtId="0" fontId="75" fillId="0" borderId="34" xfId="0" applyFont="1" applyBorder="1" applyAlignment="1">
      <alignment horizontal="left" vertical="top" readingOrder="1"/>
    </xf>
    <xf numFmtId="49" fontId="72" fillId="0" borderId="40" xfId="0" applyNumberFormat="1" applyFont="1" applyBorder="1" applyAlignment="1">
      <alignment horizontal="center" wrapText="1" readingOrder="1"/>
    </xf>
    <xf numFmtId="4" fontId="70" fillId="0" borderId="33" xfId="0" applyNumberFormat="1" applyFont="1" applyBorder="1" applyAlignment="1">
      <alignment horizontal="right" wrapText="1" readingOrder="1"/>
    </xf>
    <xf numFmtId="43" fontId="70" fillId="0" borderId="33" xfId="38" applyNumberFormat="1" applyFont="1" applyBorder="1" applyAlignment="1">
      <alignment horizontal="right" wrapText="1" readingOrder="1"/>
    </xf>
    <xf numFmtId="0" fontId="71" fillId="0" borderId="29" xfId="0" applyFont="1" applyBorder="1" applyAlignment="1">
      <alignment horizontal="left"/>
    </xf>
    <xf numFmtId="0" fontId="67" fillId="0" borderId="48" xfId="0" applyFont="1" applyBorder="1" applyAlignment="1">
      <alignment horizontal="left" vertical="top" wrapText="1" readingOrder="1"/>
    </xf>
    <xf numFmtId="0" fontId="72" fillId="0" borderId="27" xfId="0" applyFont="1" applyBorder="1" applyAlignment="1">
      <alignment horizontal="center" wrapText="1" readingOrder="1"/>
    </xf>
    <xf numFmtId="43" fontId="70" fillId="0" borderId="11" xfId="38" applyNumberFormat="1" applyFont="1" applyBorder="1" applyAlignment="1">
      <alignment horizontal="right" wrapText="1" readingOrder="1"/>
    </xf>
    <xf numFmtId="43" fontId="72" fillId="0" borderId="47" xfId="38" applyNumberFormat="1" applyFont="1" applyBorder="1" applyAlignment="1">
      <alignment horizontal="right" wrapText="1" readingOrder="1"/>
    </xf>
    <xf numFmtId="0" fontId="68" fillId="0" borderId="0" xfId="0" applyFont="1" applyAlignment="1">
      <alignment horizontal="center" wrapText="1"/>
    </xf>
    <xf numFmtId="0" fontId="76" fillId="0" borderId="0" xfId="0" applyFont="1" applyAlignment="1">
      <alignment/>
    </xf>
    <xf numFmtId="43" fontId="76" fillId="0" borderId="0" xfId="38" applyNumberFormat="1" applyFont="1" applyAlignment="1">
      <alignment/>
    </xf>
    <xf numFmtId="0" fontId="15" fillId="0" borderId="28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49" fontId="15" fillId="0" borderId="22" xfId="0" applyNumberFormat="1" applyFont="1" applyFill="1" applyBorder="1" applyAlignment="1">
      <alignment horizontal="center"/>
    </xf>
    <xf numFmtId="194" fontId="15" fillId="0" borderId="28" xfId="38" applyFont="1" applyFill="1" applyBorder="1" applyAlignment="1">
      <alignment/>
    </xf>
    <xf numFmtId="0" fontId="15" fillId="0" borderId="22" xfId="0" applyFont="1" applyFill="1" applyBorder="1" applyAlignment="1">
      <alignment horizontal="center"/>
    </xf>
    <xf numFmtId="0" fontId="15" fillId="0" borderId="0" xfId="0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/>
    </xf>
    <xf numFmtId="194" fontId="15" fillId="0" borderId="49" xfId="38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0" fontId="15" fillId="0" borderId="16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194" fontId="15" fillId="0" borderId="29" xfId="38" applyFont="1" applyBorder="1" applyAlignment="1">
      <alignment vertical="center"/>
    </xf>
    <xf numFmtId="0" fontId="15" fillId="0" borderId="29" xfId="0" applyFont="1" applyBorder="1" applyAlignment="1">
      <alignment horizontal="center" vertical="center"/>
    </xf>
    <xf numFmtId="194" fontId="15" fillId="0" borderId="29" xfId="38" applyFont="1" applyBorder="1" applyAlignment="1">
      <alignment horizontal="center" vertical="center"/>
    </xf>
    <xf numFmtId="0" fontId="15" fillId="0" borderId="11" xfId="0" applyFont="1" applyBorder="1" applyAlignment="1">
      <alignment/>
    </xf>
    <xf numFmtId="0" fontId="15" fillId="0" borderId="24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194" fontId="15" fillId="0" borderId="39" xfId="38" applyFont="1" applyBorder="1" applyAlignment="1">
      <alignment vertical="center" shrinkToFit="1"/>
    </xf>
    <xf numFmtId="194" fontId="15" fillId="0" borderId="33" xfId="38" applyFont="1" applyBorder="1" applyAlignment="1">
      <alignment vertical="center" shrinkToFit="1"/>
    </xf>
    <xf numFmtId="0" fontId="15" fillId="0" borderId="25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194" fontId="15" fillId="0" borderId="28" xfId="38" applyFont="1" applyBorder="1" applyAlignment="1">
      <alignment vertical="center" shrinkToFit="1"/>
    </xf>
    <xf numFmtId="194" fontId="15" fillId="0" borderId="28" xfId="38" applyFont="1" applyBorder="1" applyAlignment="1">
      <alignment horizontal="right" vertical="center" shrinkToFit="1"/>
    </xf>
    <xf numFmtId="194" fontId="15" fillId="0" borderId="22" xfId="38" applyFont="1" applyBorder="1" applyAlignment="1">
      <alignment vertical="center" shrinkToFit="1"/>
    </xf>
    <xf numFmtId="194" fontId="15" fillId="0" borderId="28" xfId="38" applyFont="1" applyBorder="1" applyAlignment="1">
      <alignment horizontal="center" vertical="center" shrinkToFit="1"/>
    </xf>
    <xf numFmtId="43" fontId="15" fillId="0" borderId="22" xfId="0" applyNumberFormat="1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43" fontId="15" fillId="0" borderId="22" xfId="0" applyNumberFormat="1" applyFont="1" applyBorder="1" applyAlignment="1">
      <alignment/>
    </xf>
    <xf numFmtId="0" fontId="4" fillId="0" borderId="0" xfId="0" applyFont="1" applyAlignment="1">
      <alignment horizontal="center"/>
    </xf>
    <xf numFmtId="194" fontId="16" fillId="0" borderId="12" xfId="38" applyFont="1" applyBorder="1" applyAlignment="1">
      <alignment vertical="center" shrinkToFit="1"/>
    </xf>
    <xf numFmtId="194" fontId="16" fillId="0" borderId="50" xfId="38" applyFont="1" applyBorder="1" applyAlignment="1">
      <alignment vertical="center" shrinkToFit="1"/>
    </xf>
    <xf numFmtId="194" fontId="16" fillId="0" borderId="12" xfId="0" applyNumberFormat="1" applyFont="1" applyBorder="1" applyAlignment="1">
      <alignment/>
    </xf>
    <xf numFmtId="194" fontId="4" fillId="0" borderId="0" xfId="0" applyNumberFormat="1" applyFont="1" applyAlignment="1">
      <alignment/>
    </xf>
    <xf numFmtId="203" fontId="15" fillId="0" borderId="0" xfId="38" applyNumberFormat="1" applyFont="1" applyBorder="1" applyAlignment="1">
      <alignment horizontal="right"/>
    </xf>
    <xf numFmtId="194" fontId="24" fillId="0" borderId="25" xfId="38" applyFont="1" applyBorder="1" applyAlignment="1">
      <alignment/>
    </xf>
    <xf numFmtId="0" fontId="71" fillId="0" borderId="39" xfId="0" applyFont="1" applyBorder="1" applyAlignment="1">
      <alignment horizontal="left"/>
    </xf>
    <xf numFmtId="0" fontId="69" fillId="0" borderId="36" xfId="0" applyFont="1" applyBorder="1" applyAlignment="1">
      <alignment horizontal="right" vertical="top" wrapText="1" readingOrder="1"/>
    </xf>
    <xf numFmtId="0" fontId="68" fillId="0" borderId="0" xfId="0" applyFont="1" applyAlignment="1">
      <alignment wrapText="1"/>
    </xf>
    <xf numFmtId="43" fontId="68" fillId="0" borderId="0" xfId="0" applyNumberFormat="1" applyFont="1" applyAlignment="1">
      <alignment/>
    </xf>
    <xf numFmtId="0" fontId="16" fillId="0" borderId="1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203" fontId="17" fillId="0" borderId="0" xfId="38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70" fillId="0" borderId="52" xfId="0" applyFont="1" applyBorder="1" applyAlignment="1">
      <alignment horizontal="center" vertical="top" wrapText="1" readingOrder="1"/>
    </xf>
    <xf numFmtId="0" fontId="70" fillId="0" borderId="53" xfId="0" applyFont="1" applyBorder="1" applyAlignment="1">
      <alignment horizontal="center" vertical="top" wrapText="1" readingOrder="1"/>
    </xf>
    <xf numFmtId="0" fontId="70" fillId="0" borderId="54" xfId="0" applyFont="1" applyBorder="1" applyAlignment="1">
      <alignment horizontal="center" vertical="top" wrapText="1" readingOrder="1"/>
    </xf>
    <xf numFmtId="0" fontId="77" fillId="0" borderId="35" xfId="0" applyFont="1" applyBorder="1" applyAlignment="1">
      <alignment horizontal="right" vertical="top" wrapText="1" readingOrder="1"/>
    </xf>
    <xf numFmtId="0" fontId="77" fillId="0" borderId="36" xfId="0" applyFont="1" applyBorder="1" applyAlignment="1">
      <alignment horizontal="right" vertical="top" wrapText="1" readingOrder="1"/>
    </xf>
    <xf numFmtId="0" fontId="69" fillId="0" borderId="55" xfId="0" applyFont="1" applyBorder="1" applyAlignment="1">
      <alignment horizontal="left" vertical="top" wrapText="1" readingOrder="1"/>
    </xf>
    <xf numFmtId="0" fontId="69" fillId="0" borderId="56" xfId="0" applyFont="1" applyBorder="1" applyAlignment="1">
      <alignment horizontal="left" vertical="top" wrapText="1" readingOrder="1"/>
    </xf>
    <xf numFmtId="0" fontId="71" fillId="0" borderId="35" xfId="0" applyFont="1" applyBorder="1" applyAlignment="1">
      <alignment horizontal="right"/>
    </xf>
    <xf numFmtId="0" fontId="71" fillId="0" borderId="36" xfId="0" applyFont="1" applyBorder="1" applyAlignment="1">
      <alignment horizontal="right"/>
    </xf>
    <xf numFmtId="0" fontId="71" fillId="0" borderId="57" xfId="0" applyFont="1" applyBorder="1" applyAlignment="1">
      <alignment horizontal="center" vertical="center" wrapText="1"/>
    </xf>
    <xf numFmtId="0" fontId="71" fillId="0" borderId="56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left" vertical="top" wrapText="1" readingOrder="1"/>
    </xf>
    <xf numFmtId="0" fontId="69" fillId="0" borderId="34" xfId="0" applyFont="1" applyBorder="1" applyAlignment="1">
      <alignment horizontal="left" vertical="top" wrapText="1" readingOrder="1"/>
    </xf>
    <xf numFmtId="0" fontId="71" fillId="0" borderId="57" xfId="0" applyFont="1" applyBorder="1" applyAlignment="1">
      <alignment horizontal="left"/>
    </xf>
    <xf numFmtId="0" fontId="71" fillId="0" borderId="56" xfId="0" applyFont="1" applyBorder="1" applyAlignment="1">
      <alignment horizontal="left"/>
    </xf>
    <xf numFmtId="0" fontId="70" fillId="0" borderId="57" xfId="0" applyFont="1" applyBorder="1" applyAlignment="1">
      <alignment horizontal="left" vertical="top" wrapText="1" readingOrder="1"/>
    </xf>
    <xf numFmtId="0" fontId="70" fillId="0" borderId="56" xfId="0" applyFont="1" applyBorder="1" applyAlignment="1">
      <alignment horizontal="left" vertical="top" wrapText="1" readingOrder="1"/>
    </xf>
    <xf numFmtId="0" fontId="71" fillId="0" borderId="39" xfId="0" applyFont="1" applyBorder="1" applyAlignment="1">
      <alignment horizontal="left"/>
    </xf>
    <xf numFmtId="0" fontId="71" fillId="0" borderId="40" xfId="0" applyFont="1" applyBorder="1" applyAlignment="1">
      <alignment horizontal="left"/>
    </xf>
    <xf numFmtId="0" fontId="69" fillId="0" borderId="46" xfId="0" applyFont="1" applyBorder="1" applyAlignment="1">
      <alignment horizontal="right" vertical="top" wrapText="1" readingOrder="1"/>
    </xf>
    <xf numFmtId="0" fontId="69" fillId="0" borderId="36" xfId="0" applyFont="1" applyBorder="1" applyAlignment="1">
      <alignment horizontal="right" vertical="top" wrapText="1" readingOrder="1"/>
    </xf>
    <xf numFmtId="0" fontId="69" fillId="0" borderId="0" xfId="0" applyFont="1" applyAlignment="1">
      <alignment horizontal="center" wrapText="1" readingOrder="1"/>
    </xf>
    <xf numFmtId="0" fontId="68" fillId="0" borderId="0" xfId="0" applyFont="1" applyAlignment="1">
      <alignment wrapText="1"/>
    </xf>
    <xf numFmtId="0" fontId="69" fillId="0" borderId="15" xfId="0" applyFont="1" applyBorder="1" applyAlignment="1">
      <alignment horizontal="center" wrapText="1" readingOrder="1"/>
    </xf>
    <xf numFmtId="0" fontId="71" fillId="0" borderId="57" xfId="0" applyFont="1" applyBorder="1" applyAlignment="1">
      <alignment horizontal="left" wrapText="1"/>
    </xf>
    <xf numFmtId="0" fontId="71" fillId="0" borderId="56" xfId="0" applyFont="1" applyBorder="1" applyAlignment="1">
      <alignment horizontal="left" wrapText="1"/>
    </xf>
    <xf numFmtId="0" fontId="69" fillId="0" borderId="23" xfId="0" applyFont="1" applyBorder="1" applyAlignment="1">
      <alignment horizontal="center" vertical="center" wrapText="1" readingOrder="1"/>
    </xf>
    <xf numFmtId="0" fontId="69" fillId="0" borderId="51" xfId="0" applyFont="1" applyBorder="1" applyAlignment="1">
      <alignment horizontal="center" vertical="center" wrapText="1" readingOrder="1"/>
    </xf>
    <xf numFmtId="0" fontId="69" fillId="0" borderId="39" xfId="0" applyFont="1" applyBorder="1" applyAlignment="1">
      <alignment horizontal="left" vertical="top" wrapText="1" readingOrder="1"/>
    </xf>
    <xf numFmtId="0" fontId="69" fillId="0" borderId="40" xfId="0" applyFont="1" applyBorder="1" applyAlignment="1">
      <alignment horizontal="left" vertical="top" wrapText="1" readingOrder="1"/>
    </xf>
    <xf numFmtId="0" fontId="69" fillId="0" borderId="57" xfId="0" applyFont="1" applyBorder="1" applyAlignment="1">
      <alignment horizontal="left" vertical="top" wrapText="1" readingOrder="1"/>
    </xf>
    <xf numFmtId="0" fontId="69" fillId="0" borderId="35" xfId="0" applyFont="1" applyBorder="1" applyAlignment="1">
      <alignment horizontal="right" vertical="top" wrapText="1" readingOrder="1"/>
    </xf>
    <xf numFmtId="0" fontId="15" fillId="0" borderId="25" xfId="0" applyFont="1" applyBorder="1" applyAlignment="1">
      <alignment horizontal="left" vertical="center" wrapText="1" shrinkToFit="1"/>
    </xf>
    <xf numFmtId="0" fontId="15" fillId="0" borderId="34" xfId="0" applyFont="1" applyBorder="1" applyAlignment="1">
      <alignment horizontal="left" vertical="center" wrapText="1" shrinkToFit="1"/>
    </xf>
    <xf numFmtId="0" fontId="16" fillId="0" borderId="0" xfId="0" applyFont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5" fillId="0" borderId="25" xfId="0" applyFont="1" applyBorder="1" applyAlignment="1">
      <alignment horizontal="left" vertical="center" shrinkToFit="1"/>
    </xf>
    <xf numFmtId="0" fontId="15" fillId="0" borderId="34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center"/>
    </xf>
    <xf numFmtId="0" fontId="16" fillId="0" borderId="2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15" fillId="0" borderId="25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2;&#3633;&#3604;&#3648;&#3585;&#3655;&#3610;&#3619;&#3634;&#3618;&#3652;&#3604;&#3657;%202559\&#3607;&#3632;&#3648;&#3610;&#3637;&#3618;&#3609;&#3619;&#3634;&#3618;&#3619;&#3633;&#3610;%20-%20&#3617;.&#3588;.255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ทะเบียนรายรับรวม"/>
      <sheetName val="ทะเบียน ต.ค."/>
      <sheetName val="ทะเบียน ม.ค.59"/>
      <sheetName val="ใบผ่าน3"/>
    </sheetNames>
    <sheetDataSet>
      <sheetData sheetId="0">
        <row r="8">
          <cell r="Q8">
            <v>45</v>
          </cell>
        </row>
        <row r="9">
          <cell r="Q9">
            <v>745.75</v>
          </cell>
        </row>
        <row r="10">
          <cell r="Q10">
            <v>0</v>
          </cell>
        </row>
        <row r="11">
          <cell r="Q11">
            <v>39478.38</v>
          </cell>
        </row>
        <row r="13">
          <cell r="Q13">
            <v>0</v>
          </cell>
        </row>
        <row r="14">
          <cell r="Q14">
            <v>641</v>
          </cell>
        </row>
        <row r="15">
          <cell r="Q15">
            <v>32480</v>
          </cell>
        </row>
        <row r="16">
          <cell r="Q16">
            <v>1350</v>
          </cell>
        </row>
        <row r="17">
          <cell r="Q17">
            <v>0</v>
          </cell>
        </row>
        <row r="18">
          <cell r="Q18">
            <v>0</v>
          </cell>
        </row>
        <row r="19">
          <cell r="Q19">
            <v>27280</v>
          </cell>
        </row>
        <row r="20">
          <cell r="Q20">
            <v>12125</v>
          </cell>
        </row>
        <row r="21">
          <cell r="Q21">
            <v>5600</v>
          </cell>
        </row>
        <row r="22">
          <cell r="Q22">
            <v>0</v>
          </cell>
        </row>
        <row r="23">
          <cell r="Q23">
            <v>40</v>
          </cell>
        </row>
        <row r="24">
          <cell r="Q24">
            <v>0</v>
          </cell>
        </row>
        <row r="25">
          <cell r="Q25">
            <v>200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34280</v>
          </cell>
        </row>
        <row r="30">
          <cell r="Q30">
            <v>24473.149999999998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289557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610</v>
          </cell>
        </row>
        <row r="39">
          <cell r="Q39">
            <v>610</v>
          </cell>
        </row>
        <row r="41">
          <cell r="Q41">
            <v>0</v>
          </cell>
        </row>
        <row r="42">
          <cell r="Q42">
            <v>0</v>
          </cell>
        </row>
        <row r="43">
          <cell r="Q43">
            <v>40277.9</v>
          </cell>
        </row>
        <row r="44">
          <cell r="Q44">
            <v>3398825.6899999995</v>
          </cell>
        </row>
        <row r="45">
          <cell r="Q45">
            <v>442276.05000000005</v>
          </cell>
        </row>
        <row r="46">
          <cell r="Q46">
            <v>0</v>
          </cell>
        </row>
        <row r="47">
          <cell r="Q47">
            <v>188499.93</v>
          </cell>
        </row>
        <row r="48">
          <cell r="Q48">
            <v>384947.02</v>
          </cell>
        </row>
        <row r="49">
          <cell r="Q49">
            <v>0</v>
          </cell>
        </row>
        <row r="50">
          <cell r="Q50">
            <v>8254.76</v>
          </cell>
        </row>
        <row r="51">
          <cell r="Q51">
            <v>74332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3294107</v>
          </cell>
        </row>
        <row r="56">
          <cell r="Q56">
            <v>103391</v>
          </cell>
        </row>
        <row r="57">
          <cell r="Q57">
            <v>363000</v>
          </cell>
        </row>
        <row r="58">
          <cell r="Q58">
            <v>10000</v>
          </cell>
        </row>
        <row r="59">
          <cell r="Q59">
            <v>30000</v>
          </cell>
        </row>
        <row r="60">
          <cell r="Q60">
            <v>0</v>
          </cell>
        </row>
        <row r="62">
          <cell r="Q62">
            <v>0</v>
          </cell>
        </row>
        <row r="63">
          <cell r="Q63">
            <v>0</v>
          </cell>
        </row>
        <row r="64">
          <cell r="Q64">
            <v>180480</v>
          </cell>
        </row>
        <row r="65">
          <cell r="Q65">
            <v>68400</v>
          </cell>
        </row>
        <row r="66">
          <cell r="Q66">
            <v>3420</v>
          </cell>
        </row>
        <row r="67">
          <cell r="Q67">
            <v>74900</v>
          </cell>
        </row>
        <row r="68">
          <cell r="Q68">
            <v>1534000</v>
          </cell>
        </row>
        <row r="69">
          <cell r="Q69">
            <v>374400</v>
          </cell>
        </row>
      </sheetData>
      <sheetData sheetId="3">
        <row r="7">
          <cell r="X7">
            <v>12885</v>
          </cell>
        </row>
        <row r="8">
          <cell r="X8">
            <v>1988.3500000000001</v>
          </cell>
        </row>
        <row r="9">
          <cell r="X9">
            <v>600</v>
          </cell>
        </row>
        <row r="10">
          <cell r="X10">
            <v>0</v>
          </cell>
        </row>
        <row r="11">
          <cell r="X11">
            <v>0</v>
          </cell>
        </row>
        <row r="12">
          <cell r="X12">
            <v>10840</v>
          </cell>
        </row>
        <row r="13">
          <cell r="X13">
            <v>250</v>
          </cell>
        </row>
        <row r="14">
          <cell r="X14">
            <v>0</v>
          </cell>
        </row>
        <row r="15">
          <cell r="X15">
            <v>0</v>
          </cell>
        </row>
        <row r="16">
          <cell r="X16">
            <v>10552.5</v>
          </cell>
        </row>
        <row r="17">
          <cell r="X17">
            <v>600</v>
          </cell>
        </row>
        <row r="18">
          <cell r="X18">
            <v>900</v>
          </cell>
        </row>
        <row r="19">
          <cell r="X19">
            <v>0</v>
          </cell>
        </row>
        <row r="20">
          <cell r="X20">
            <v>0</v>
          </cell>
        </row>
        <row r="21">
          <cell r="X21">
            <v>0</v>
          </cell>
        </row>
        <row r="22">
          <cell r="X22">
            <v>0</v>
          </cell>
        </row>
        <row r="23">
          <cell r="X23">
            <v>0</v>
          </cell>
        </row>
        <row r="24">
          <cell r="X24">
            <v>13615</v>
          </cell>
        </row>
        <row r="25">
          <cell r="X25">
            <v>226334.41</v>
          </cell>
        </row>
        <row r="26">
          <cell r="X26">
            <v>0</v>
          </cell>
        </row>
        <row r="27">
          <cell r="X27">
            <v>110919</v>
          </cell>
        </row>
        <row r="28">
          <cell r="X28">
            <v>3000</v>
          </cell>
        </row>
        <row r="29">
          <cell r="X29">
            <v>18500</v>
          </cell>
        </row>
        <row r="30">
          <cell r="X30">
            <v>163291.89</v>
          </cell>
        </row>
        <row r="31">
          <cell r="X31">
            <v>1102634.9</v>
          </cell>
        </row>
        <row r="32">
          <cell r="X32">
            <v>0</v>
          </cell>
        </row>
        <row r="33">
          <cell r="X33">
            <v>0</v>
          </cell>
        </row>
        <row r="34">
          <cell r="X34">
            <v>0</v>
          </cell>
        </row>
        <row r="35">
          <cell r="X35">
            <v>232.8</v>
          </cell>
        </row>
        <row r="36">
          <cell r="X36">
            <v>0</v>
          </cell>
        </row>
        <row r="37">
          <cell r="X37">
            <v>0</v>
          </cell>
        </row>
        <row r="38">
          <cell r="X38">
            <v>6321</v>
          </cell>
        </row>
        <row r="39">
          <cell r="X39">
            <v>3294107</v>
          </cell>
        </row>
        <row r="40">
          <cell r="X40">
            <v>243219</v>
          </cell>
        </row>
        <row r="41">
          <cell r="X41">
            <v>377000</v>
          </cell>
        </row>
        <row r="42">
          <cell r="X42">
            <v>0</v>
          </cell>
        </row>
        <row r="43">
          <cell r="X43">
            <v>0</v>
          </cell>
        </row>
        <row r="45">
          <cell r="X45">
            <v>120320</v>
          </cell>
        </row>
        <row r="46">
          <cell r="X46">
            <v>57570</v>
          </cell>
        </row>
        <row r="47">
          <cell r="X47">
            <v>2280</v>
          </cell>
        </row>
        <row r="48">
          <cell r="X48">
            <v>0</v>
          </cell>
        </row>
        <row r="49">
          <cell r="X49">
            <v>0</v>
          </cell>
        </row>
        <row r="50">
          <cell r="X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BreakPreview" zoomScaleSheetLayoutView="100" zoomScalePageLayoutView="0" workbookViewId="0" topLeftCell="A31">
      <selection activeCell="E44" sqref="E44"/>
    </sheetView>
  </sheetViews>
  <sheetFormatPr defaultColWidth="9.140625" defaultRowHeight="12.75"/>
  <cols>
    <col min="1" max="1" width="13.57421875" style="23" bestFit="1" customWidth="1"/>
    <col min="2" max="2" width="13.140625" style="23" customWidth="1"/>
    <col min="3" max="3" width="13.57421875" style="23" bestFit="1" customWidth="1"/>
    <col min="4" max="4" width="14.28125" style="23" customWidth="1"/>
    <col min="5" max="5" width="30.140625" style="23" customWidth="1"/>
    <col min="6" max="6" width="8.28125" style="23" customWidth="1"/>
    <col min="7" max="7" width="14.140625" style="23" customWidth="1"/>
    <col min="8" max="8" width="23.421875" style="23" bestFit="1" customWidth="1"/>
    <col min="9" max="16384" width="9.140625" style="23" customWidth="1"/>
  </cols>
  <sheetData>
    <row r="1" spans="1:7" ht="21">
      <c r="A1" s="282" t="s">
        <v>0</v>
      </c>
      <c r="B1" s="282"/>
      <c r="C1" s="282"/>
      <c r="D1" s="282"/>
      <c r="E1" s="282"/>
      <c r="F1" s="282"/>
      <c r="G1" s="282"/>
    </row>
    <row r="2" spans="1:7" ht="21">
      <c r="A2" s="283" t="s">
        <v>104</v>
      </c>
      <c r="B2" s="283"/>
      <c r="C2" s="283"/>
      <c r="D2" s="283"/>
      <c r="E2" s="283"/>
      <c r="F2" s="283"/>
      <c r="G2" s="283"/>
    </row>
    <row r="3" spans="1:7" ht="21">
      <c r="A3" s="284" t="s">
        <v>250</v>
      </c>
      <c r="B3" s="284"/>
      <c r="C3" s="284"/>
      <c r="D3" s="284"/>
      <c r="E3" s="284"/>
      <c r="F3" s="284"/>
      <c r="G3" s="284"/>
    </row>
    <row r="4" spans="1:7" ht="23.25" customHeight="1">
      <c r="A4" s="279" t="s">
        <v>1</v>
      </c>
      <c r="B4" s="280"/>
      <c r="C4" s="280"/>
      <c r="D4" s="281"/>
      <c r="E4" s="285" t="s">
        <v>2</v>
      </c>
      <c r="F4" s="288" t="s">
        <v>3</v>
      </c>
      <c r="G4" s="277" t="s">
        <v>106</v>
      </c>
    </row>
    <row r="5" spans="1:7" ht="56.25">
      <c r="A5" s="44" t="s">
        <v>5</v>
      </c>
      <c r="B5" s="45" t="s">
        <v>105</v>
      </c>
      <c r="C5" s="44" t="s">
        <v>38</v>
      </c>
      <c r="D5" s="44" t="s">
        <v>6</v>
      </c>
      <c r="E5" s="286"/>
      <c r="F5" s="289"/>
      <c r="G5" s="278"/>
    </row>
    <row r="6" spans="1:7" ht="23.25" customHeight="1">
      <c r="A6" s="46" t="s">
        <v>99</v>
      </c>
      <c r="B6" s="39" t="s">
        <v>99</v>
      </c>
      <c r="C6" s="46" t="s">
        <v>99</v>
      </c>
      <c r="D6" s="46" t="s">
        <v>99</v>
      </c>
      <c r="E6" s="287"/>
      <c r="F6" s="290"/>
      <c r="G6" s="46" t="s">
        <v>99</v>
      </c>
    </row>
    <row r="7" spans="1:8" ht="18.75">
      <c r="A7" s="54"/>
      <c r="B7" s="54"/>
      <c r="C7" s="54"/>
      <c r="D7" s="55">
        <v>58910655.4</v>
      </c>
      <c r="E7" s="56" t="s">
        <v>7</v>
      </c>
      <c r="F7" s="54"/>
      <c r="G7" s="104">
        <v>59194151.03</v>
      </c>
      <c r="H7" s="40"/>
    </row>
    <row r="8" spans="1:7" ht="18.75">
      <c r="A8" s="57"/>
      <c r="B8" s="57"/>
      <c r="C8" s="57"/>
      <c r="D8" s="57"/>
      <c r="E8" s="58" t="s">
        <v>107</v>
      </c>
      <c r="F8" s="62" t="s">
        <v>126</v>
      </c>
      <c r="G8" s="57"/>
    </row>
    <row r="9" spans="1:7" ht="18.75">
      <c r="A9" s="65">
        <v>335000</v>
      </c>
      <c r="B9" s="65">
        <v>0</v>
      </c>
      <c r="C9" s="80">
        <f>A9+B9</f>
        <v>335000</v>
      </c>
      <c r="D9" s="59">
        <f>40269.13+G9</f>
        <v>55742.479999999996</v>
      </c>
      <c r="E9" s="60" t="s">
        <v>8</v>
      </c>
      <c r="F9" s="62" t="s">
        <v>127</v>
      </c>
      <c r="G9" s="59">
        <v>15473.35</v>
      </c>
    </row>
    <row r="10" spans="1:7" ht="18.75">
      <c r="A10" s="65">
        <v>342000</v>
      </c>
      <c r="B10" s="65">
        <v>0</v>
      </c>
      <c r="C10" s="80">
        <f aca="true" t="shared" si="0" ref="C10:C16">A10+B10</f>
        <v>342000</v>
      </c>
      <c r="D10" s="63">
        <f>79716+G10</f>
        <v>102858.5</v>
      </c>
      <c r="E10" s="61" t="s">
        <v>9</v>
      </c>
      <c r="F10" s="62" t="s">
        <v>117</v>
      </c>
      <c r="G10" s="63">
        <v>23142.5</v>
      </c>
    </row>
    <row r="11" spans="1:7" ht="18.75">
      <c r="A11" s="65">
        <v>661000</v>
      </c>
      <c r="B11" s="65">
        <v>0</v>
      </c>
      <c r="C11" s="80">
        <f t="shared" si="0"/>
        <v>661000</v>
      </c>
      <c r="D11" s="63">
        <f>58753.15+G11</f>
        <v>298702.56</v>
      </c>
      <c r="E11" s="61" t="s">
        <v>10</v>
      </c>
      <c r="F11" s="62" t="s">
        <v>118</v>
      </c>
      <c r="G11" s="63">
        <v>239949.41</v>
      </c>
    </row>
    <row r="12" spans="1:7" ht="18.75">
      <c r="A12" s="65">
        <v>0</v>
      </c>
      <c r="B12" s="65">
        <v>0</v>
      </c>
      <c r="C12" s="80">
        <f t="shared" si="0"/>
        <v>0</v>
      </c>
      <c r="D12" s="63">
        <f>289557+G12</f>
        <v>400476</v>
      </c>
      <c r="E12" s="61" t="s">
        <v>109</v>
      </c>
      <c r="F12" s="62" t="s">
        <v>128</v>
      </c>
      <c r="G12" s="63">
        <v>110919</v>
      </c>
    </row>
    <row r="13" spans="1:8" ht="18.75">
      <c r="A13" s="65">
        <v>147000</v>
      </c>
      <c r="B13" s="65">
        <v>0</v>
      </c>
      <c r="C13" s="80">
        <f t="shared" si="0"/>
        <v>147000</v>
      </c>
      <c r="D13" s="59">
        <f>610+G13</f>
        <v>22110</v>
      </c>
      <c r="E13" s="61" t="s">
        <v>11</v>
      </c>
      <c r="F13" s="62" t="s">
        <v>119</v>
      </c>
      <c r="G13" s="59">
        <v>21500</v>
      </c>
      <c r="H13" s="41"/>
    </row>
    <row r="14" spans="1:8" ht="18.75">
      <c r="A14" s="65">
        <v>17965000</v>
      </c>
      <c r="B14" s="65">
        <v>0</v>
      </c>
      <c r="C14" s="80">
        <f t="shared" si="0"/>
        <v>17965000</v>
      </c>
      <c r="D14" s="59">
        <f>4537413.35+G14</f>
        <v>5809893.9399999995</v>
      </c>
      <c r="E14" s="61" t="s">
        <v>12</v>
      </c>
      <c r="F14" s="62" t="s">
        <v>129</v>
      </c>
      <c r="G14" s="59">
        <v>1272480.59</v>
      </c>
      <c r="H14" s="48"/>
    </row>
    <row r="15" spans="1:8" ht="18.75">
      <c r="A15" s="65">
        <v>15000000</v>
      </c>
      <c r="B15" s="65">
        <v>0</v>
      </c>
      <c r="C15" s="80">
        <f t="shared" si="0"/>
        <v>15000000</v>
      </c>
      <c r="D15" s="63">
        <f>3800498+G15</f>
        <v>7714824</v>
      </c>
      <c r="E15" s="61" t="s">
        <v>251</v>
      </c>
      <c r="F15" s="62" t="s">
        <v>120</v>
      </c>
      <c r="G15" s="63">
        <v>3914326</v>
      </c>
      <c r="H15" s="43"/>
    </row>
    <row r="16" spans="1:8" ht="18.75">
      <c r="A16" s="65">
        <v>0</v>
      </c>
      <c r="B16" s="65">
        <f>2235600+G16</f>
        <v>2415770</v>
      </c>
      <c r="C16" s="80">
        <f t="shared" si="0"/>
        <v>2415770</v>
      </c>
      <c r="D16" s="64">
        <f>2235600+G16</f>
        <v>2415770</v>
      </c>
      <c r="E16" s="61" t="s">
        <v>97</v>
      </c>
      <c r="F16" s="62" t="s">
        <v>130</v>
      </c>
      <c r="G16" s="64">
        <v>180170</v>
      </c>
      <c r="H16" s="41">
        <f>SUM(G9:G16)</f>
        <v>5777960.85</v>
      </c>
    </row>
    <row r="17" spans="1:8" ht="18.75">
      <c r="A17" s="65"/>
      <c r="B17" s="65"/>
      <c r="C17" s="80"/>
      <c r="D17" s="64">
        <f>119053+G17</f>
        <v>149758</v>
      </c>
      <c r="E17" s="61" t="s">
        <v>152</v>
      </c>
      <c r="F17" s="62" t="s">
        <v>153</v>
      </c>
      <c r="G17" s="64">
        <v>30705</v>
      </c>
      <c r="H17" s="41"/>
    </row>
    <row r="18" spans="1:7" ht="18.75">
      <c r="A18" s="57"/>
      <c r="B18" s="57"/>
      <c r="C18" s="57"/>
      <c r="D18" s="66">
        <f>30788+G18</f>
        <v>45388</v>
      </c>
      <c r="E18" s="61" t="s">
        <v>16</v>
      </c>
      <c r="F18" s="62" t="s">
        <v>150</v>
      </c>
      <c r="G18" s="66">
        <v>14600</v>
      </c>
    </row>
    <row r="19" spans="1:7" ht="18.75">
      <c r="A19" s="57"/>
      <c r="B19" s="57"/>
      <c r="C19" s="57"/>
      <c r="D19" s="66">
        <v>0</v>
      </c>
      <c r="E19" s="67" t="s">
        <v>101</v>
      </c>
      <c r="F19" s="62" t="s">
        <v>151</v>
      </c>
      <c r="G19" s="66">
        <v>0</v>
      </c>
    </row>
    <row r="20" spans="1:7" ht="18.75">
      <c r="A20" s="57"/>
      <c r="B20" s="57"/>
      <c r="C20" s="57"/>
      <c r="D20" s="66">
        <v>0</v>
      </c>
      <c r="E20" s="69" t="s">
        <v>62</v>
      </c>
      <c r="F20" s="62" t="s">
        <v>144</v>
      </c>
      <c r="G20" s="66">
        <v>0</v>
      </c>
    </row>
    <row r="21" spans="1:7" ht="18.75">
      <c r="A21" s="57"/>
      <c r="B21" s="57"/>
      <c r="C21" s="57"/>
      <c r="D21" s="66">
        <v>0</v>
      </c>
      <c r="E21" s="69" t="s">
        <v>80</v>
      </c>
      <c r="F21" s="62" t="s">
        <v>145</v>
      </c>
      <c r="G21" s="66">
        <v>0</v>
      </c>
    </row>
    <row r="22" spans="1:7" ht="18.75">
      <c r="A22" s="100"/>
      <c r="B22" s="100"/>
      <c r="C22" s="100"/>
      <c r="D22" s="101">
        <v>0</v>
      </c>
      <c r="E22" s="102" t="s">
        <v>154</v>
      </c>
      <c r="F22" s="103" t="s">
        <v>155</v>
      </c>
      <c r="G22" s="101">
        <v>0</v>
      </c>
    </row>
    <row r="23" spans="1:8" ht="18.75">
      <c r="A23" s="57"/>
      <c r="B23" s="57"/>
      <c r="C23" s="57"/>
      <c r="D23" s="63">
        <f>109271.62+G23</f>
        <v>354569.23</v>
      </c>
      <c r="E23" s="57" t="s">
        <v>14</v>
      </c>
      <c r="F23" s="62" t="s">
        <v>131</v>
      </c>
      <c r="G23" s="63">
        <v>245297.61</v>
      </c>
      <c r="H23" s="43">
        <f>SUM(D9:D16)</f>
        <v>16820377.48</v>
      </c>
    </row>
    <row r="24" spans="1:7" ht="18.75">
      <c r="A24" s="57"/>
      <c r="B24" s="57"/>
      <c r="C24" s="57"/>
      <c r="D24" s="66">
        <v>0</v>
      </c>
      <c r="E24" s="68" t="s">
        <v>26</v>
      </c>
      <c r="F24" s="62" t="s">
        <v>147</v>
      </c>
      <c r="G24" s="66">
        <v>0</v>
      </c>
    </row>
    <row r="25" spans="1:8" ht="18.75">
      <c r="A25" s="57"/>
      <c r="B25" s="57"/>
      <c r="C25" s="57"/>
      <c r="D25" s="65">
        <f>841570+G25</f>
        <v>841781.14</v>
      </c>
      <c r="E25" s="61" t="s">
        <v>15</v>
      </c>
      <c r="F25" s="62" t="s">
        <v>132</v>
      </c>
      <c r="G25" s="65">
        <v>211.14</v>
      </c>
      <c r="H25" s="43"/>
    </row>
    <row r="26" spans="1:7" ht="18.75">
      <c r="A26" s="57"/>
      <c r="B26" s="57"/>
      <c r="C26" s="57"/>
      <c r="D26" s="66">
        <v>0</v>
      </c>
      <c r="E26" s="67" t="s">
        <v>100</v>
      </c>
      <c r="F26" s="62"/>
      <c r="G26" s="66">
        <v>0</v>
      </c>
    </row>
    <row r="27" spans="1:7" ht="18.75">
      <c r="A27" s="57"/>
      <c r="B27" s="57"/>
      <c r="C27" s="57"/>
      <c r="D27" s="66">
        <v>0</v>
      </c>
      <c r="E27" s="67" t="s">
        <v>60</v>
      </c>
      <c r="F27" s="62"/>
      <c r="G27" s="66">
        <v>0</v>
      </c>
    </row>
    <row r="28" spans="1:7" ht="18.75">
      <c r="A28" s="57"/>
      <c r="B28" s="57"/>
      <c r="C28" s="57"/>
      <c r="D28" s="66">
        <v>0</v>
      </c>
      <c r="E28" s="67" t="s">
        <v>19</v>
      </c>
      <c r="F28" s="62" t="s">
        <v>133</v>
      </c>
      <c r="G28" s="66">
        <v>0</v>
      </c>
    </row>
    <row r="29" spans="1:7" ht="18.75">
      <c r="A29" s="100"/>
      <c r="B29" s="100"/>
      <c r="C29" s="100"/>
      <c r="D29" s="101">
        <v>74900</v>
      </c>
      <c r="E29" s="102" t="s">
        <v>21</v>
      </c>
      <c r="F29" s="103" t="s">
        <v>137</v>
      </c>
      <c r="G29" s="101">
        <v>0</v>
      </c>
    </row>
    <row r="30" spans="1:7" ht="18.75">
      <c r="A30" s="100"/>
      <c r="B30" s="100"/>
      <c r="C30" s="100"/>
      <c r="D30" s="101"/>
      <c r="E30" s="102"/>
      <c r="F30" s="103"/>
      <c r="G30" s="101"/>
    </row>
    <row r="31" spans="1:7" ht="18.75">
      <c r="A31" s="100"/>
      <c r="B31" s="100"/>
      <c r="C31" s="100"/>
      <c r="D31" s="101"/>
      <c r="E31" s="102"/>
      <c r="F31" s="103"/>
      <c r="G31" s="101"/>
    </row>
    <row r="32" spans="1:7" ht="18.75">
      <c r="A32" s="100"/>
      <c r="B32" s="100"/>
      <c r="C32" s="100"/>
      <c r="D32" s="101"/>
      <c r="E32" s="102"/>
      <c r="F32" s="103"/>
      <c r="G32" s="101"/>
    </row>
    <row r="33" spans="1:7" ht="18.75">
      <c r="A33" s="100"/>
      <c r="B33" s="100"/>
      <c r="C33" s="100"/>
      <c r="D33" s="101"/>
      <c r="E33" s="102"/>
      <c r="F33" s="103"/>
      <c r="G33" s="101"/>
    </row>
    <row r="34" spans="1:7" ht="18.75">
      <c r="A34" s="100"/>
      <c r="B34" s="100"/>
      <c r="C34" s="100"/>
      <c r="D34" s="101"/>
      <c r="E34" s="102"/>
      <c r="F34" s="103"/>
      <c r="G34" s="101"/>
    </row>
    <row r="35" spans="1:7" ht="18.75">
      <c r="A35" s="100"/>
      <c r="B35" s="100"/>
      <c r="C35" s="100"/>
      <c r="D35" s="101"/>
      <c r="E35" s="102"/>
      <c r="F35" s="103"/>
      <c r="G35" s="101"/>
    </row>
    <row r="36" spans="1:7" ht="18.75">
      <c r="A36" s="25">
        <f>SUM(A9:A35)</f>
        <v>34450000</v>
      </c>
      <c r="B36" s="25">
        <f>SUM(B9:B35)</f>
        <v>2415770</v>
      </c>
      <c r="C36" s="25">
        <f>SUM(C9:C35)</f>
        <v>36865770</v>
      </c>
      <c r="D36" s="49">
        <f>SUM(D9:D35)</f>
        <v>18286773.85</v>
      </c>
      <c r="E36" s="70" t="s">
        <v>98</v>
      </c>
      <c r="F36" s="50"/>
      <c r="G36" s="49">
        <f>SUM(G9:G35)</f>
        <v>6068774.6</v>
      </c>
    </row>
    <row r="37" spans="1:7" ht="25.5" customHeight="1">
      <c r="A37" s="99"/>
      <c r="B37" s="54"/>
      <c r="C37" s="74"/>
      <c r="D37" s="54"/>
      <c r="E37" s="75" t="s">
        <v>108</v>
      </c>
      <c r="F37" s="106">
        <v>500000</v>
      </c>
      <c r="G37" s="54"/>
    </row>
    <row r="38" spans="1:7" ht="19.5" customHeight="1">
      <c r="A38" s="65">
        <v>3302500</v>
      </c>
      <c r="B38" s="65">
        <v>1914000</v>
      </c>
      <c r="C38" s="76">
        <f>A38+B38</f>
        <v>5216500</v>
      </c>
      <c r="D38" s="66">
        <f>1615295.5+G38</f>
        <v>1998149.5</v>
      </c>
      <c r="E38" s="77" t="s">
        <v>19</v>
      </c>
      <c r="F38" s="62" t="s">
        <v>133</v>
      </c>
      <c r="G38" s="66">
        <v>382854</v>
      </c>
    </row>
    <row r="39" spans="1:7" ht="19.5" customHeight="1">
      <c r="A39" s="65">
        <v>2624400</v>
      </c>
      <c r="B39" s="65">
        <v>0</v>
      </c>
      <c r="C39" s="76">
        <f aca="true" t="shared" si="1" ref="C39:C62">A39+B39</f>
        <v>2624400</v>
      </c>
      <c r="D39" s="66">
        <f>656160+G39</f>
        <v>874880</v>
      </c>
      <c r="E39" s="79" t="s">
        <v>78</v>
      </c>
      <c r="F39" s="62" t="s">
        <v>134</v>
      </c>
      <c r="G39" s="66">
        <v>218720</v>
      </c>
    </row>
    <row r="40" spans="1:7" ht="19.5" customHeight="1">
      <c r="A40" s="65">
        <v>9426400</v>
      </c>
      <c r="B40" s="65">
        <v>426770</v>
      </c>
      <c r="C40" s="76">
        <f t="shared" si="1"/>
        <v>9853170</v>
      </c>
      <c r="D40" s="66">
        <f>2147813.33+G40</f>
        <v>3069838.75</v>
      </c>
      <c r="E40" s="79" t="s">
        <v>77</v>
      </c>
      <c r="F40" s="62" t="s">
        <v>135</v>
      </c>
      <c r="G40" s="66">
        <v>922025.42</v>
      </c>
    </row>
    <row r="41" spans="1:7" ht="19.5" customHeight="1">
      <c r="A41" s="65">
        <v>791000</v>
      </c>
      <c r="B41" s="65">
        <v>0</v>
      </c>
      <c r="C41" s="76">
        <f t="shared" si="1"/>
        <v>791000</v>
      </c>
      <c r="D41" s="66">
        <f>57927+G41</f>
        <v>81047</v>
      </c>
      <c r="E41" s="77" t="s">
        <v>20</v>
      </c>
      <c r="F41" s="62" t="s">
        <v>136</v>
      </c>
      <c r="G41" s="66">
        <v>23120</v>
      </c>
    </row>
    <row r="42" spans="1:7" ht="19.5" customHeight="1">
      <c r="A42" s="65">
        <v>4767000</v>
      </c>
      <c r="B42" s="65">
        <v>0</v>
      </c>
      <c r="C42" s="76">
        <f t="shared" si="1"/>
        <v>4767000</v>
      </c>
      <c r="D42" s="80">
        <f>403229.55+G42</f>
        <v>593527.55</v>
      </c>
      <c r="E42" s="77" t="s">
        <v>21</v>
      </c>
      <c r="F42" s="62" t="s">
        <v>137</v>
      </c>
      <c r="G42" s="80">
        <v>190298</v>
      </c>
    </row>
    <row r="43" spans="1:7" ht="19.5" customHeight="1">
      <c r="A43" s="65">
        <v>3148000</v>
      </c>
      <c r="B43" s="65">
        <v>74900</v>
      </c>
      <c r="C43" s="76">
        <f t="shared" si="1"/>
        <v>3222900</v>
      </c>
      <c r="D43" s="80">
        <f>221168+G43</f>
        <v>255127</v>
      </c>
      <c r="E43" s="77" t="s">
        <v>22</v>
      </c>
      <c r="F43" s="62" t="s">
        <v>138</v>
      </c>
      <c r="G43" s="80">
        <v>33959</v>
      </c>
    </row>
    <row r="44" spans="1:7" ht="19.5" customHeight="1">
      <c r="A44" s="65">
        <v>767000</v>
      </c>
      <c r="B44" s="65">
        <v>0</v>
      </c>
      <c r="C44" s="76">
        <f t="shared" si="1"/>
        <v>767000</v>
      </c>
      <c r="D44" s="80">
        <f>191531.08+G44</f>
        <v>264269.05</v>
      </c>
      <c r="E44" s="79" t="s">
        <v>23</v>
      </c>
      <c r="F44" s="62" t="s">
        <v>139</v>
      </c>
      <c r="G44" s="80">
        <v>72737.97</v>
      </c>
    </row>
    <row r="45" spans="1:7" ht="19.5" customHeight="1">
      <c r="A45" s="65">
        <v>5021700</v>
      </c>
      <c r="B45" s="65">
        <v>0</v>
      </c>
      <c r="C45" s="76">
        <f>A45+B45</f>
        <v>5021700</v>
      </c>
      <c r="D45" s="80">
        <f>7780+G45</f>
        <v>7780</v>
      </c>
      <c r="E45" s="77" t="s">
        <v>24</v>
      </c>
      <c r="F45" s="62" t="s">
        <v>141</v>
      </c>
      <c r="G45" s="80">
        <v>0</v>
      </c>
    </row>
    <row r="46" spans="1:7" ht="19.5" customHeight="1">
      <c r="A46" s="65">
        <v>3095000</v>
      </c>
      <c r="B46" s="65">
        <v>0</v>
      </c>
      <c r="C46" s="76">
        <f>A46+B46</f>
        <v>3095000</v>
      </c>
      <c r="D46" s="80">
        <v>0</v>
      </c>
      <c r="E46" s="79" t="s">
        <v>25</v>
      </c>
      <c r="F46" s="62" t="s">
        <v>142</v>
      </c>
      <c r="G46" s="80">
        <v>0</v>
      </c>
    </row>
    <row r="47" spans="1:7" ht="19.5" customHeight="1">
      <c r="A47" s="65">
        <v>25000</v>
      </c>
      <c r="B47" s="65">
        <v>0</v>
      </c>
      <c r="C47" s="76">
        <f>A47+B47</f>
        <v>25000</v>
      </c>
      <c r="D47" s="80">
        <v>0</v>
      </c>
      <c r="E47" s="81" t="s">
        <v>123</v>
      </c>
      <c r="F47" s="62" t="s">
        <v>143</v>
      </c>
      <c r="G47" s="80">
        <v>0</v>
      </c>
    </row>
    <row r="48" spans="1:8" ht="19.5" customHeight="1">
      <c r="A48" s="65">
        <v>1470000</v>
      </c>
      <c r="B48" s="65">
        <v>0</v>
      </c>
      <c r="C48" s="76">
        <f t="shared" si="1"/>
        <v>1470000</v>
      </c>
      <c r="D48" s="80">
        <f>276000+G48</f>
        <v>546000</v>
      </c>
      <c r="E48" s="77" t="s">
        <v>13</v>
      </c>
      <c r="F48" s="62" t="s">
        <v>140</v>
      </c>
      <c r="G48" s="80">
        <v>270000</v>
      </c>
      <c r="H48" s="41">
        <f>SUM(G38:G48)</f>
        <v>2113714.3899999997</v>
      </c>
    </row>
    <row r="49" spans="1:8" ht="19.5" customHeight="1">
      <c r="A49" s="65"/>
      <c r="B49" s="65"/>
      <c r="C49" s="76"/>
      <c r="D49" s="80">
        <f>176674+G49</f>
        <v>207379</v>
      </c>
      <c r="E49" s="77" t="s">
        <v>152</v>
      </c>
      <c r="F49" s="62" t="s">
        <v>153</v>
      </c>
      <c r="G49" s="64">
        <v>30705</v>
      </c>
      <c r="H49" s="41">
        <f>SUM(D38:D48)</f>
        <v>7690618.85</v>
      </c>
    </row>
    <row r="50" spans="1:7" ht="19.5" customHeight="1">
      <c r="A50" s="65">
        <v>0</v>
      </c>
      <c r="B50" s="65">
        <v>0</v>
      </c>
      <c r="C50" s="65">
        <f>A50+B50</f>
        <v>0</v>
      </c>
      <c r="D50" s="65">
        <f>13588+G50</f>
        <v>40588</v>
      </c>
      <c r="E50" s="61" t="s">
        <v>16</v>
      </c>
      <c r="F50" s="62" t="s">
        <v>150</v>
      </c>
      <c r="G50" s="65">
        <v>27000</v>
      </c>
    </row>
    <row r="51" spans="1:7" ht="18.75">
      <c r="A51" s="57"/>
      <c r="B51" s="57"/>
      <c r="C51" s="57"/>
      <c r="D51" s="66">
        <f>525390+G51</f>
        <v>876890</v>
      </c>
      <c r="E51" s="67" t="s">
        <v>101</v>
      </c>
      <c r="F51" s="62" t="s">
        <v>151</v>
      </c>
      <c r="G51" s="66">
        <v>351500</v>
      </c>
    </row>
    <row r="52" spans="1:7" ht="19.5" customHeight="1">
      <c r="A52" s="65">
        <v>0</v>
      </c>
      <c r="B52" s="65">
        <v>0</v>
      </c>
      <c r="C52" s="65">
        <f>A52+B52</f>
        <v>0</v>
      </c>
      <c r="D52" s="101">
        <f>201287.71+G52</f>
        <v>201287.71</v>
      </c>
      <c r="E52" s="77" t="s">
        <v>57</v>
      </c>
      <c r="F52" s="62" t="s">
        <v>148</v>
      </c>
      <c r="G52" s="101">
        <v>0</v>
      </c>
    </row>
    <row r="53" spans="1:7" ht="19.5" customHeight="1">
      <c r="A53" s="65">
        <v>0</v>
      </c>
      <c r="B53" s="65">
        <v>0</v>
      </c>
      <c r="C53" s="65">
        <f>A53+B53</f>
        <v>0</v>
      </c>
      <c r="D53" s="66">
        <v>1200</v>
      </c>
      <c r="E53" s="69" t="s">
        <v>62</v>
      </c>
      <c r="F53" s="62" t="s">
        <v>144</v>
      </c>
      <c r="G53" s="66">
        <v>0</v>
      </c>
    </row>
    <row r="54" spans="1:7" ht="19.5" customHeight="1">
      <c r="A54" s="65">
        <v>0</v>
      </c>
      <c r="B54" s="65">
        <v>0</v>
      </c>
      <c r="C54" s="65">
        <f>A54+B54</f>
        <v>0</v>
      </c>
      <c r="D54" s="66">
        <v>8.55</v>
      </c>
      <c r="E54" s="69" t="s">
        <v>80</v>
      </c>
      <c r="F54" s="62" t="s">
        <v>145</v>
      </c>
      <c r="G54" s="66">
        <v>0</v>
      </c>
    </row>
    <row r="55" spans="1:7" ht="19.5" customHeight="1">
      <c r="A55" s="65">
        <v>0</v>
      </c>
      <c r="B55" s="65">
        <v>0</v>
      </c>
      <c r="C55" s="65">
        <f>A55+B55</f>
        <v>0</v>
      </c>
      <c r="D55" s="65">
        <v>0</v>
      </c>
      <c r="E55" s="61" t="s">
        <v>68</v>
      </c>
      <c r="F55" s="62" t="s">
        <v>146</v>
      </c>
      <c r="G55" s="65">
        <v>0</v>
      </c>
    </row>
    <row r="56" spans="1:7" ht="19.5" customHeight="1">
      <c r="A56" s="65">
        <v>0</v>
      </c>
      <c r="B56" s="65">
        <v>0</v>
      </c>
      <c r="C56" s="65">
        <f>A56+B56</f>
        <v>0</v>
      </c>
      <c r="D56" s="80">
        <f>3618694.1+G56</f>
        <v>3970194.1</v>
      </c>
      <c r="E56" s="77" t="s">
        <v>26</v>
      </c>
      <c r="F56" s="62" t="s">
        <v>147</v>
      </c>
      <c r="G56" s="80">
        <v>351500</v>
      </c>
    </row>
    <row r="57" spans="1:7" ht="19.5" customHeight="1">
      <c r="A57" s="65">
        <v>0</v>
      </c>
      <c r="B57" s="65">
        <v>0</v>
      </c>
      <c r="C57" s="65">
        <f t="shared" si="1"/>
        <v>0</v>
      </c>
      <c r="D57" s="80">
        <f>114093.8+G57</f>
        <v>296526.36</v>
      </c>
      <c r="E57" s="61" t="s">
        <v>14</v>
      </c>
      <c r="F57" s="62" t="s">
        <v>131</v>
      </c>
      <c r="G57" s="80">
        <v>182432.56</v>
      </c>
    </row>
    <row r="58" spans="1:7" ht="19.5" customHeight="1">
      <c r="A58" s="65">
        <v>0</v>
      </c>
      <c r="B58" s="65">
        <v>0</v>
      </c>
      <c r="C58" s="65">
        <f>A58+B58</f>
        <v>0</v>
      </c>
      <c r="D58" s="66">
        <v>0</v>
      </c>
      <c r="E58" s="81" t="s">
        <v>93</v>
      </c>
      <c r="F58" s="107">
        <v>221202</v>
      </c>
      <c r="G58" s="66">
        <v>0</v>
      </c>
    </row>
    <row r="59" spans="1:7" ht="19.5" customHeight="1">
      <c r="A59" s="65">
        <v>0</v>
      </c>
      <c r="B59" s="65">
        <v>0</v>
      </c>
      <c r="C59" s="65">
        <f t="shared" si="1"/>
        <v>0</v>
      </c>
      <c r="D59" s="80">
        <f>1603763+G59</f>
        <v>1754763</v>
      </c>
      <c r="E59" s="77" t="s">
        <v>15</v>
      </c>
      <c r="F59" s="62" t="s">
        <v>132</v>
      </c>
      <c r="G59" s="80">
        <v>151000</v>
      </c>
    </row>
    <row r="60" spans="1:7" ht="19.5" customHeight="1">
      <c r="A60" s="65">
        <v>0</v>
      </c>
      <c r="B60" s="65">
        <v>0</v>
      </c>
      <c r="C60" s="65">
        <f t="shared" si="1"/>
        <v>0</v>
      </c>
      <c r="D60" s="80">
        <v>0</v>
      </c>
      <c r="E60" s="81" t="s">
        <v>56</v>
      </c>
      <c r="F60" s="62"/>
      <c r="G60" s="80">
        <v>0</v>
      </c>
    </row>
    <row r="61" spans="1:7" ht="19.5" customHeight="1">
      <c r="A61" s="65">
        <v>0</v>
      </c>
      <c r="B61" s="65">
        <v>0</v>
      </c>
      <c r="C61" s="65">
        <f t="shared" si="1"/>
        <v>0</v>
      </c>
      <c r="D61" s="78">
        <v>102900</v>
      </c>
      <c r="E61" s="81" t="s">
        <v>91</v>
      </c>
      <c r="F61" s="57"/>
      <c r="G61" s="80">
        <v>0</v>
      </c>
    </row>
    <row r="62" spans="1:7" ht="19.5" customHeight="1">
      <c r="A62" s="65">
        <v>0</v>
      </c>
      <c r="B62" s="65">
        <v>0</v>
      </c>
      <c r="C62" s="65">
        <f t="shared" si="1"/>
        <v>0</v>
      </c>
      <c r="D62" s="65">
        <v>0</v>
      </c>
      <c r="E62" s="81" t="s">
        <v>92</v>
      </c>
      <c r="F62" s="57"/>
      <c r="G62" s="65">
        <v>0</v>
      </c>
    </row>
    <row r="63" spans="1:7" ht="19.5" customHeight="1">
      <c r="A63" s="97">
        <f>SUM(A38:A62)</f>
        <v>34438000</v>
      </c>
      <c r="B63" s="97">
        <f>SUM(B38:B62)</f>
        <v>2415670</v>
      </c>
      <c r="C63" s="97">
        <f>SUM(C38:C62)</f>
        <v>36853670</v>
      </c>
      <c r="D63" s="25">
        <f>SUM(D38:D62)</f>
        <v>15142355.57</v>
      </c>
      <c r="E63" s="71" t="s">
        <v>27</v>
      </c>
      <c r="F63" s="42"/>
      <c r="G63" s="25">
        <f>SUM(G38:G62)</f>
        <v>3207851.9499999997</v>
      </c>
    </row>
    <row r="64" spans="1:7" ht="19.5" customHeight="1">
      <c r="A64" s="47"/>
      <c r="B64" s="47"/>
      <c r="C64" s="52"/>
      <c r="D64" s="27">
        <f>SUM(D36-D63)</f>
        <v>3144418.280000001</v>
      </c>
      <c r="E64" s="72" t="s">
        <v>28</v>
      </c>
      <c r="F64" s="26"/>
      <c r="G64" s="27">
        <f>SUM(G36-G63)</f>
        <v>2860922.65</v>
      </c>
    </row>
    <row r="65" spans="1:7" ht="19.5" customHeight="1">
      <c r="A65" s="24"/>
      <c r="B65" s="24"/>
      <c r="C65" s="51"/>
      <c r="D65" s="27"/>
      <c r="E65" s="73" t="s">
        <v>110</v>
      </c>
      <c r="F65" s="26"/>
      <c r="G65" s="27"/>
    </row>
    <row r="66" spans="1:7" ht="19.5" customHeight="1">
      <c r="A66" s="24"/>
      <c r="B66" s="24"/>
      <c r="C66" s="51"/>
      <c r="D66" s="27"/>
      <c r="E66" s="73" t="s">
        <v>30</v>
      </c>
      <c r="F66" s="26"/>
      <c r="G66" s="27"/>
    </row>
    <row r="67" spans="1:8" ht="19.5" customHeight="1" thickBot="1">
      <c r="A67" s="24"/>
      <c r="B67" s="24"/>
      <c r="C67" s="53"/>
      <c r="D67" s="28">
        <f>SUM(D7+D64)</f>
        <v>62055073.68</v>
      </c>
      <c r="E67" s="72" t="s">
        <v>31</v>
      </c>
      <c r="F67" s="26"/>
      <c r="G67" s="28">
        <f>SUM(G7+G64)</f>
        <v>62055073.68</v>
      </c>
      <c r="H67" s="43">
        <f>SUM(D67-G67)</f>
        <v>0</v>
      </c>
    </row>
    <row r="68" ht="19.5" thickTop="1"/>
  </sheetData>
  <sheetProtection/>
  <mergeCells count="7">
    <mergeCell ref="G4:G5"/>
    <mergeCell ref="A4:D4"/>
    <mergeCell ref="A1:G1"/>
    <mergeCell ref="A2:G2"/>
    <mergeCell ref="A3:G3"/>
    <mergeCell ref="E4:E6"/>
    <mergeCell ref="F4:F6"/>
  </mergeCells>
  <printOptions/>
  <pageMargins left="0.35433070866141736" right="0.11811023622047245" top="0.7874015748031497" bottom="0.5905511811023623" header="1.4173228346456694" footer="0.5118110236220472"/>
  <pageSetup horizontalDpi="600" verticalDpi="600" orientation="portrait" scale="97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="125" zoomScaleNormal="125" zoomScalePageLayoutView="0" workbookViewId="0" topLeftCell="A1">
      <selection activeCell="F28" sqref="F28"/>
    </sheetView>
  </sheetViews>
  <sheetFormatPr defaultColWidth="9.140625" defaultRowHeight="18" customHeight="1"/>
  <cols>
    <col min="1" max="5" width="9.140625" style="1" customWidth="1"/>
    <col min="6" max="6" width="15.00390625" style="1" customWidth="1"/>
    <col min="7" max="7" width="9.140625" style="1" customWidth="1"/>
    <col min="8" max="8" width="17.8515625" style="1" customWidth="1"/>
    <col min="9" max="16384" width="9.140625" style="1" customWidth="1"/>
  </cols>
  <sheetData>
    <row r="1" spans="1:10" s="2" customFormat="1" ht="18" customHeight="1">
      <c r="A1" s="292" t="s">
        <v>0</v>
      </c>
      <c r="B1" s="292"/>
      <c r="C1" s="292"/>
      <c r="D1" s="292"/>
      <c r="E1" s="292"/>
      <c r="F1" s="292"/>
      <c r="G1" s="292"/>
      <c r="H1" s="292"/>
      <c r="I1" s="3"/>
      <c r="J1" s="4"/>
    </row>
    <row r="2" spans="1:10" s="2" customFormat="1" ht="18" customHeight="1">
      <c r="A2" s="292" t="s">
        <v>54</v>
      </c>
      <c r="B2" s="292"/>
      <c r="C2" s="292"/>
      <c r="D2" s="292"/>
      <c r="E2" s="292"/>
      <c r="F2" s="292"/>
      <c r="G2" s="292"/>
      <c r="H2" s="292"/>
      <c r="I2" s="3" t="s">
        <v>17</v>
      </c>
      <c r="J2" s="4"/>
    </row>
    <row r="3" spans="1:10" s="2" customFormat="1" ht="18" customHeight="1">
      <c r="A3" s="291" t="s">
        <v>252</v>
      </c>
      <c r="B3" s="291"/>
      <c r="C3" s="291"/>
      <c r="D3" s="291"/>
      <c r="E3" s="291"/>
      <c r="F3" s="291"/>
      <c r="G3" s="291"/>
      <c r="H3" s="291"/>
      <c r="I3" s="5"/>
      <c r="J3" s="5"/>
    </row>
    <row r="4" spans="1:10" s="8" customFormat="1" ht="18" customHeight="1">
      <c r="A4" s="293" t="s">
        <v>29</v>
      </c>
      <c r="B4" s="293"/>
      <c r="C4" s="31"/>
      <c r="D4" s="29"/>
      <c r="E4" s="29"/>
      <c r="F4" s="29" t="s">
        <v>4</v>
      </c>
      <c r="G4" s="32"/>
      <c r="H4" s="29" t="s">
        <v>32</v>
      </c>
      <c r="I4" s="7"/>
      <c r="J4" s="7"/>
    </row>
    <row r="5" spans="1:10" s="8" customFormat="1" ht="15.75" customHeight="1">
      <c r="A5" s="82" t="s">
        <v>33</v>
      </c>
      <c r="B5" s="82"/>
      <c r="C5" s="82"/>
      <c r="D5" s="82"/>
      <c r="E5" s="82"/>
      <c r="F5" s="83">
        <v>5777960.85</v>
      </c>
      <c r="G5" s="84"/>
      <c r="H5" s="83">
        <f>11042416.63+F5</f>
        <v>16820377.48</v>
      </c>
      <c r="I5" s="6"/>
      <c r="J5" s="9"/>
    </row>
    <row r="6" spans="1:10" s="8" customFormat="1" ht="18" customHeight="1">
      <c r="A6" s="85" t="s">
        <v>34</v>
      </c>
      <c r="B6" s="85"/>
      <c r="C6" s="85"/>
      <c r="D6" s="85"/>
      <c r="E6" s="85"/>
      <c r="F6" s="86">
        <v>245297.61</v>
      </c>
      <c r="G6" s="87"/>
      <c r="H6" s="86">
        <f>109271.62+F6</f>
        <v>354569.23</v>
      </c>
      <c r="I6" s="11"/>
      <c r="J6" s="9"/>
    </row>
    <row r="7" spans="1:9" s="8" customFormat="1" ht="18" customHeight="1">
      <c r="A7" s="85" t="s">
        <v>35</v>
      </c>
      <c r="B7" s="85"/>
      <c r="C7" s="85"/>
      <c r="D7" s="85"/>
      <c r="E7" s="85"/>
      <c r="F7" s="272">
        <v>30705</v>
      </c>
      <c r="G7" s="87"/>
      <c r="H7" s="86">
        <f>119053+F7</f>
        <v>149758</v>
      </c>
      <c r="I7" s="11"/>
    </row>
    <row r="8" spans="1:10" s="8" customFormat="1" ht="18" customHeight="1">
      <c r="A8" s="85" t="s">
        <v>36</v>
      </c>
      <c r="B8" s="85"/>
      <c r="C8" s="85"/>
      <c r="D8" s="85"/>
      <c r="E8" s="85"/>
      <c r="F8" s="86">
        <v>14600</v>
      </c>
      <c r="G8" s="87"/>
      <c r="H8" s="86">
        <f>30788+F8</f>
        <v>45388</v>
      </c>
      <c r="I8" s="11"/>
      <c r="J8" s="9"/>
    </row>
    <row r="9" spans="1:10" s="8" customFormat="1" ht="18" customHeight="1">
      <c r="A9" s="85" t="s">
        <v>37</v>
      </c>
      <c r="B9" s="85"/>
      <c r="C9" s="85"/>
      <c r="D9" s="85"/>
      <c r="E9" s="85"/>
      <c r="F9" s="86">
        <v>211.14</v>
      </c>
      <c r="G9" s="87"/>
      <c r="H9" s="86">
        <f>841570+F9</f>
        <v>841781.14</v>
      </c>
      <c r="I9" s="11"/>
      <c r="J9" s="9"/>
    </row>
    <row r="10" spans="1:10" s="8" customFormat="1" ht="18" customHeight="1">
      <c r="A10" s="85" t="s">
        <v>102</v>
      </c>
      <c r="B10" s="85"/>
      <c r="C10" s="85"/>
      <c r="D10" s="85"/>
      <c r="E10" s="85"/>
      <c r="F10" s="86">
        <v>0</v>
      </c>
      <c r="G10" s="87"/>
      <c r="H10" s="86">
        <v>0</v>
      </c>
      <c r="I10" s="11"/>
      <c r="J10" s="9"/>
    </row>
    <row r="11" spans="1:10" s="8" customFormat="1" ht="18" customHeight="1">
      <c r="A11" s="85" t="s">
        <v>61</v>
      </c>
      <c r="B11" s="85"/>
      <c r="C11" s="85"/>
      <c r="D11" s="85"/>
      <c r="E11" s="85"/>
      <c r="F11" s="86">
        <v>0</v>
      </c>
      <c r="G11" s="87"/>
      <c r="H11" s="86">
        <v>0</v>
      </c>
      <c r="I11" s="11"/>
      <c r="J11" s="9"/>
    </row>
    <row r="12" spans="1:10" s="8" customFormat="1" ht="18" customHeight="1">
      <c r="A12" s="85" t="s">
        <v>103</v>
      </c>
      <c r="B12" s="85"/>
      <c r="C12" s="85"/>
      <c r="D12" s="85"/>
      <c r="E12" s="85"/>
      <c r="F12" s="86">
        <v>0</v>
      </c>
      <c r="G12" s="87"/>
      <c r="H12" s="86">
        <v>0</v>
      </c>
      <c r="I12" s="12"/>
      <c r="J12" s="9"/>
    </row>
    <row r="13" spans="1:10" s="8" customFormat="1" ht="18" customHeight="1">
      <c r="A13" s="85" t="s">
        <v>156</v>
      </c>
      <c r="B13" s="85"/>
      <c r="C13" s="85"/>
      <c r="D13" s="85"/>
      <c r="E13" s="85"/>
      <c r="F13" s="86">
        <v>0</v>
      </c>
      <c r="G13" s="87"/>
      <c r="H13" s="86">
        <v>0</v>
      </c>
      <c r="I13" s="12"/>
      <c r="J13" s="9"/>
    </row>
    <row r="14" spans="1:10" s="8" customFormat="1" ht="18" customHeight="1">
      <c r="A14" s="85" t="s">
        <v>41</v>
      </c>
      <c r="B14" s="85"/>
      <c r="C14" s="85"/>
      <c r="D14" s="85"/>
      <c r="E14" s="85"/>
      <c r="F14" s="86">
        <v>0</v>
      </c>
      <c r="G14" s="87"/>
      <c r="H14" s="86">
        <v>0</v>
      </c>
      <c r="I14" s="12"/>
      <c r="J14" s="9"/>
    </row>
    <row r="15" spans="1:10" s="8" customFormat="1" ht="18" customHeight="1">
      <c r="A15" s="85" t="s">
        <v>76</v>
      </c>
      <c r="B15" s="85"/>
      <c r="C15" s="85"/>
      <c r="D15" s="85"/>
      <c r="E15" s="85"/>
      <c r="F15" s="86">
        <v>0</v>
      </c>
      <c r="G15" s="87"/>
      <c r="H15" s="86">
        <v>0</v>
      </c>
      <c r="I15" s="12"/>
      <c r="J15" s="9"/>
    </row>
    <row r="16" spans="1:10" s="8" customFormat="1" ht="18" customHeight="1">
      <c r="A16" s="85" t="s">
        <v>81</v>
      </c>
      <c r="B16" s="85"/>
      <c r="C16" s="85"/>
      <c r="D16" s="85"/>
      <c r="E16" s="85"/>
      <c r="F16" s="86">
        <v>0</v>
      </c>
      <c r="G16" s="87"/>
      <c r="H16" s="86">
        <v>0</v>
      </c>
      <c r="I16" s="12"/>
      <c r="J16" s="9"/>
    </row>
    <row r="17" spans="1:10" s="8" customFormat="1" ht="18" customHeight="1">
      <c r="A17" s="85" t="s">
        <v>71</v>
      </c>
      <c r="B17" s="85"/>
      <c r="C17" s="85"/>
      <c r="D17" s="85"/>
      <c r="E17" s="85"/>
      <c r="F17" s="86">
        <v>0</v>
      </c>
      <c r="G17" s="87"/>
      <c r="H17" s="86">
        <v>0</v>
      </c>
      <c r="I17" s="12"/>
      <c r="J17" s="9"/>
    </row>
    <row r="18" spans="1:10" s="8" customFormat="1" ht="18" customHeight="1">
      <c r="A18" s="85" t="s">
        <v>66</v>
      </c>
      <c r="B18" s="85"/>
      <c r="C18" s="85"/>
      <c r="D18" s="85"/>
      <c r="E18" s="85"/>
      <c r="F18" s="86">
        <v>0</v>
      </c>
      <c r="G18" s="87"/>
      <c r="H18" s="86">
        <v>0</v>
      </c>
      <c r="I18" s="12"/>
      <c r="J18" s="9"/>
    </row>
    <row r="19" spans="1:10" s="8" customFormat="1" ht="18" customHeight="1">
      <c r="A19" s="85" t="s">
        <v>75</v>
      </c>
      <c r="B19" s="85"/>
      <c r="C19" s="85"/>
      <c r="D19" s="85"/>
      <c r="E19" s="85"/>
      <c r="F19" s="86">
        <v>0</v>
      </c>
      <c r="G19" s="87"/>
      <c r="H19" s="86">
        <v>0</v>
      </c>
      <c r="I19" s="12"/>
      <c r="J19" s="9"/>
    </row>
    <row r="20" spans="1:10" s="8" customFormat="1" ht="18" customHeight="1">
      <c r="A20" s="85" t="s">
        <v>72</v>
      </c>
      <c r="B20" s="85"/>
      <c r="C20" s="85"/>
      <c r="D20" s="85"/>
      <c r="E20" s="85"/>
      <c r="F20" s="86">
        <v>0</v>
      </c>
      <c r="G20" s="87"/>
      <c r="H20" s="86">
        <v>0</v>
      </c>
      <c r="I20" s="12"/>
      <c r="J20" s="9"/>
    </row>
    <row r="21" spans="1:10" s="8" customFormat="1" ht="18" customHeight="1">
      <c r="A21" s="85" t="s">
        <v>69</v>
      </c>
      <c r="B21" s="85"/>
      <c r="C21" s="85"/>
      <c r="D21" s="85"/>
      <c r="E21" s="85"/>
      <c r="F21" s="86">
        <v>0</v>
      </c>
      <c r="G21" s="87"/>
      <c r="H21" s="86">
        <v>0</v>
      </c>
      <c r="I21" s="12"/>
      <c r="J21" s="9"/>
    </row>
    <row r="22" spans="1:10" s="8" customFormat="1" ht="18" customHeight="1">
      <c r="A22" s="85" t="s">
        <v>83</v>
      </c>
      <c r="B22" s="85"/>
      <c r="C22" s="85"/>
      <c r="D22" s="85"/>
      <c r="E22" s="85"/>
      <c r="F22" s="86">
        <v>0</v>
      </c>
      <c r="G22" s="87"/>
      <c r="H22" s="86">
        <v>0</v>
      </c>
      <c r="I22" s="12"/>
      <c r="J22" s="9"/>
    </row>
    <row r="23" spans="1:10" s="8" customFormat="1" ht="18" customHeight="1">
      <c r="A23" s="85" t="s">
        <v>96</v>
      </c>
      <c r="B23" s="85"/>
      <c r="C23" s="85"/>
      <c r="D23" s="85"/>
      <c r="E23" s="85"/>
      <c r="F23" s="86">
        <v>0</v>
      </c>
      <c r="G23" s="87"/>
      <c r="H23" s="86">
        <v>74900</v>
      </c>
      <c r="I23" s="12"/>
      <c r="J23" s="9"/>
    </row>
    <row r="24" spans="1:10" s="8" customFormat="1" ht="18" customHeight="1" thickBot="1">
      <c r="A24" s="291" t="s">
        <v>38</v>
      </c>
      <c r="B24" s="291"/>
      <c r="C24" s="291"/>
      <c r="D24" s="291"/>
      <c r="E24" s="291"/>
      <c r="F24" s="34">
        <f>SUM(F5:F23)</f>
        <v>6068774.6</v>
      </c>
      <c r="G24" s="35"/>
      <c r="H24" s="34">
        <f>SUM(H5:H23)</f>
        <v>18286773.85</v>
      </c>
      <c r="I24" s="13"/>
      <c r="J24" s="9"/>
    </row>
    <row r="25" spans="1:10" s="8" customFormat="1" ht="14.25" customHeight="1" thickTop="1">
      <c r="A25" s="33" t="s">
        <v>18</v>
      </c>
      <c r="B25" s="33"/>
      <c r="C25" s="31"/>
      <c r="D25" s="31"/>
      <c r="E25" s="31"/>
      <c r="F25" s="36"/>
      <c r="G25" s="36"/>
      <c r="H25" s="35"/>
      <c r="I25" s="10"/>
      <c r="J25" s="9"/>
    </row>
    <row r="26" spans="1:10" s="8" customFormat="1" ht="18" customHeight="1">
      <c r="A26" s="82" t="s">
        <v>39</v>
      </c>
      <c r="B26" s="82"/>
      <c r="C26" s="82"/>
      <c r="D26" s="82"/>
      <c r="E26" s="82"/>
      <c r="F26" s="89">
        <v>2113714.39</v>
      </c>
      <c r="G26" s="89"/>
      <c r="H26" s="89">
        <f>5576904.46+F26</f>
        <v>7690618.85</v>
      </c>
      <c r="I26" s="15"/>
      <c r="J26" s="9"/>
    </row>
    <row r="27" spans="1:10" s="8" customFormat="1" ht="18" customHeight="1">
      <c r="A27" s="85" t="s">
        <v>40</v>
      </c>
      <c r="B27" s="85"/>
      <c r="C27" s="85"/>
      <c r="D27" s="85"/>
      <c r="E27" s="85"/>
      <c r="F27" s="90">
        <v>182432.56</v>
      </c>
      <c r="G27" s="90"/>
      <c r="H27" s="90">
        <f>114093.8+F27</f>
        <v>296526.36</v>
      </c>
      <c r="I27" s="16"/>
      <c r="J27" s="9"/>
    </row>
    <row r="28" spans="1:10" s="8" customFormat="1" ht="18" customHeight="1">
      <c r="A28" s="85" t="s">
        <v>35</v>
      </c>
      <c r="B28" s="85"/>
      <c r="C28" s="85"/>
      <c r="D28" s="85"/>
      <c r="E28" s="85"/>
      <c r="F28" s="272">
        <v>30705</v>
      </c>
      <c r="G28" s="90"/>
      <c r="H28" s="86">
        <f>176674+F28</f>
        <v>207379</v>
      </c>
      <c r="I28" s="14"/>
      <c r="J28" s="9"/>
    </row>
    <row r="29" spans="1:10" s="8" customFormat="1" ht="18" customHeight="1">
      <c r="A29" s="85" t="s">
        <v>41</v>
      </c>
      <c r="B29" s="85"/>
      <c r="C29" s="85"/>
      <c r="D29" s="85"/>
      <c r="E29" s="85"/>
      <c r="F29" s="86">
        <v>351500</v>
      </c>
      <c r="G29" s="90"/>
      <c r="H29" s="86">
        <f>3618694.1+F29</f>
        <v>3970194.1</v>
      </c>
      <c r="I29" s="10"/>
      <c r="J29" s="9"/>
    </row>
    <row r="30" spans="1:10" s="8" customFormat="1" ht="18" customHeight="1">
      <c r="A30" s="85" t="s">
        <v>36</v>
      </c>
      <c r="B30" s="85"/>
      <c r="C30" s="85"/>
      <c r="D30" s="85"/>
      <c r="E30" s="85"/>
      <c r="F30" s="91">
        <v>27000</v>
      </c>
      <c r="G30" s="90"/>
      <c r="H30" s="91">
        <f>13588+F30</f>
        <v>40588</v>
      </c>
      <c r="I30" s="12"/>
      <c r="J30" s="18"/>
    </row>
    <row r="31" spans="1:10" s="8" customFormat="1" ht="18" customHeight="1">
      <c r="A31" s="85" t="s">
        <v>76</v>
      </c>
      <c r="B31" s="85"/>
      <c r="C31" s="85"/>
      <c r="D31" s="85"/>
      <c r="E31" s="85"/>
      <c r="F31" s="91">
        <v>0</v>
      </c>
      <c r="G31" s="90"/>
      <c r="H31" s="91">
        <f>1200+F31</f>
        <v>1200</v>
      </c>
      <c r="I31" s="17"/>
      <c r="J31" s="18"/>
    </row>
    <row r="32" spans="1:10" s="8" customFormat="1" ht="18" customHeight="1">
      <c r="A32" s="85" t="s">
        <v>81</v>
      </c>
      <c r="B32" s="85"/>
      <c r="C32" s="85"/>
      <c r="D32" s="85"/>
      <c r="E32" s="85"/>
      <c r="F32" s="91">
        <v>0</v>
      </c>
      <c r="G32" s="90"/>
      <c r="H32" s="91">
        <f>8.55+F32</f>
        <v>8.55</v>
      </c>
      <c r="I32" s="17"/>
      <c r="J32" s="18"/>
    </row>
    <row r="33" spans="1:10" s="8" customFormat="1" ht="18" customHeight="1">
      <c r="A33" s="85" t="s">
        <v>103</v>
      </c>
      <c r="B33" s="85"/>
      <c r="C33" s="85"/>
      <c r="D33" s="85"/>
      <c r="E33" s="85"/>
      <c r="F33" s="91">
        <v>351500</v>
      </c>
      <c r="G33" s="90"/>
      <c r="H33" s="91">
        <f>525390+F33</f>
        <v>876890</v>
      </c>
      <c r="I33" s="17"/>
      <c r="J33" s="18"/>
    </row>
    <row r="34" spans="1:10" s="8" customFormat="1" ht="18" customHeight="1">
      <c r="A34" s="85" t="s">
        <v>58</v>
      </c>
      <c r="B34" s="92"/>
      <c r="C34" s="85"/>
      <c r="D34" s="85"/>
      <c r="E34" s="85"/>
      <c r="F34" s="90">
        <v>0</v>
      </c>
      <c r="G34" s="90"/>
      <c r="H34" s="90">
        <v>0</v>
      </c>
      <c r="I34" s="17"/>
      <c r="J34" s="18"/>
    </row>
    <row r="35" spans="1:10" s="8" customFormat="1" ht="18" customHeight="1">
      <c r="A35" s="93" t="s">
        <v>37</v>
      </c>
      <c r="B35" s="92"/>
      <c r="C35" s="85"/>
      <c r="D35" s="85"/>
      <c r="E35" s="85"/>
      <c r="F35" s="86">
        <v>151000</v>
      </c>
      <c r="G35" s="90"/>
      <c r="H35" s="86">
        <f>1603763+F35</f>
        <v>1754763</v>
      </c>
      <c r="I35" s="14"/>
      <c r="J35" s="18"/>
    </row>
    <row r="36" spans="1:10" s="8" customFormat="1" ht="18" customHeight="1">
      <c r="A36" s="85" t="s">
        <v>55</v>
      </c>
      <c r="B36" s="85"/>
      <c r="C36" s="85"/>
      <c r="D36" s="85"/>
      <c r="E36" s="85"/>
      <c r="F36" s="86">
        <v>0</v>
      </c>
      <c r="G36" s="90"/>
      <c r="H36" s="86">
        <f>201287.71+F36</f>
        <v>201287.71</v>
      </c>
      <c r="I36" s="10"/>
      <c r="J36" s="18"/>
    </row>
    <row r="37" spans="1:10" s="8" customFormat="1" ht="18" customHeight="1">
      <c r="A37" s="85" t="s">
        <v>84</v>
      </c>
      <c r="B37" s="85"/>
      <c r="C37" s="85"/>
      <c r="D37" s="85"/>
      <c r="E37" s="85"/>
      <c r="F37" s="90"/>
      <c r="G37" s="90"/>
      <c r="H37" s="90"/>
      <c r="I37" s="19"/>
      <c r="J37" s="18"/>
    </row>
    <row r="38" spans="1:10" s="8" customFormat="1" ht="15.75" customHeight="1">
      <c r="A38" s="93" t="s">
        <v>73</v>
      </c>
      <c r="B38" s="85"/>
      <c r="C38" s="94"/>
      <c r="D38" s="94"/>
      <c r="E38" s="94"/>
      <c r="F38" s="90"/>
      <c r="G38" s="85"/>
      <c r="H38" s="90"/>
      <c r="I38" s="19"/>
      <c r="J38" s="18"/>
    </row>
    <row r="39" spans="1:10" s="8" customFormat="1" ht="15.75" customHeight="1">
      <c r="A39" s="85" t="s">
        <v>70</v>
      </c>
      <c r="B39" s="85"/>
      <c r="C39" s="94"/>
      <c r="D39" s="94"/>
      <c r="E39" s="94"/>
      <c r="F39" s="90"/>
      <c r="G39" s="85"/>
      <c r="H39" s="90"/>
      <c r="I39" s="20"/>
      <c r="J39" s="18"/>
    </row>
    <row r="40" spans="1:10" s="8" customFormat="1" ht="15.75" customHeight="1">
      <c r="A40" s="85" t="s">
        <v>74</v>
      </c>
      <c r="B40" s="85"/>
      <c r="C40" s="94"/>
      <c r="D40" s="94"/>
      <c r="E40" s="94"/>
      <c r="F40" s="90"/>
      <c r="G40" s="85"/>
      <c r="H40" s="90"/>
      <c r="I40" s="20"/>
      <c r="J40" s="18"/>
    </row>
    <row r="41" spans="1:10" s="8" customFormat="1" ht="18" customHeight="1">
      <c r="A41" s="85" t="s">
        <v>59</v>
      </c>
      <c r="B41" s="85"/>
      <c r="C41" s="94"/>
      <c r="D41" s="94"/>
      <c r="E41" s="94"/>
      <c r="F41" s="90">
        <v>0</v>
      </c>
      <c r="G41" s="85"/>
      <c r="H41" s="90">
        <v>102900</v>
      </c>
      <c r="I41" s="20"/>
      <c r="J41" s="18"/>
    </row>
    <row r="42" spans="1:10" s="8" customFormat="1" ht="18" customHeight="1">
      <c r="A42" s="85" t="s">
        <v>61</v>
      </c>
      <c r="B42" s="85"/>
      <c r="C42" s="94"/>
      <c r="D42" s="94"/>
      <c r="E42" s="94"/>
      <c r="F42" s="90"/>
      <c r="G42" s="85"/>
      <c r="H42" s="90"/>
      <c r="I42" s="20"/>
      <c r="J42" s="18"/>
    </row>
    <row r="43" spans="1:10" s="8" customFormat="1" ht="18" customHeight="1">
      <c r="A43" s="85" t="s">
        <v>65</v>
      </c>
      <c r="B43" s="85"/>
      <c r="C43" s="94"/>
      <c r="D43" s="94"/>
      <c r="E43" s="94"/>
      <c r="F43" s="90"/>
      <c r="G43" s="85"/>
      <c r="H43" s="90"/>
      <c r="I43" s="20"/>
      <c r="J43" s="18"/>
    </row>
    <row r="44" spans="1:10" s="8" customFormat="1" ht="18" customHeight="1">
      <c r="A44" s="85" t="s">
        <v>79</v>
      </c>
      <c r="B44" s="85"/>
      <c r="C44" s="94"/>
      <c r="D44" s="94"/>
      <c r="E44" s="94"/>
      <c r="F44" s="90"/>
      <c r="G44" s="85"/>
      <c r="H44" s="90"/>
      <c r="I44" s="20"/>
      <c r="J44" s="18"/>
    </row>
    <row r="45" spans="1:10" s="8" customFormat="1" ht="18" customHeight="1">
      <c r="A45" s="88" t="s">
        <v>82</v>
      </c>
      <c r="B45" s="88"/>
      <c r="C45" s="95"/>
      <c r="D45" s="95"/>
      <c r="E45" s="95"/>
      <c r="F45" s="96"/>
      <c r="G45" s="88"/>
      <c r="H45" s="96"/>
      <c r="I45" s="20"/>
      <c r="J45" s="18"/>
    </row>
    <row r="46" spans="1:10" s="8" customFormat="1" ht="18" customHeight="1">
      <c r="A46" s="291" t="s">
        <v>38</v>
      </c>
      <c r="B46" s="291"/>
      <c r="C46" s="291"/>
      <c r="D46" s="291"/>
      <c r="E46" s="291"/>
      <c r="F46" s="37">
        <f>SUM(F26:F45)</f>
        <v>3207851.95</v>
      </c>
      <c r="G46" s="36"/>
      <c r="H46" s="37">
        <f>SUM(H26:H45)</f>
        <v>15142355.570000002</v>
      </c>
      <c r="I46" s="21"/>
      <c r="J46" s="18"/>
    </row>
    <row r="47" spans="1:10" s="8" customFormat="1" ht="18" customHeight="1" thickBot="1">
      <c r="A47" s="291" t="s">
        <v>42</v>
      </c>
      <c r="B47" s="291"/>
      <c r="C47" s="291"/>
      <c r="D47" s="291"/>
      <c r="E47" s="291"/>
      <c r="F47" s="38">
        <f>SUM(F24-F46)</f>
        <v>2860922.6499999994</v>
      </c>
      <c r="G47" s="31"/>
      <c r="H47" s="38">
        <f>SUM(H24-H46)</f>
        <v>3144418.2799999993</v>
      </c>
      <c r="I47" s="22"/>
      <c r="J47" s="18"/>
    </row>
    <row r="48" spans="1:10" s="8" customFormat="1" ht="18" customHeight="1" thickTop="1">
      <c r="A48" s="31"/>
      <c r="B48" s="31"/>
      <c r="C48" s="31"/>
      <c r="D48" s="31"/>
      <c r="E48" s="31"/>
      <c r="F48" s="31"/>
      <c r="G48" s="31"/>
      <c r="H48" s="30"/>
      <c r="I48" s="6"/>
      <c r="J48" s="18"/>
    </row>
    <row r="49" spans="1:8" s="8" customFormat="1" ht="18" customHeight="1">
      <c r="A49" s="31"/>
      <c r="B49" s="31"/>
      <c r="C49" s="31"/>
      <c r="D49" s="31"/>
      <c r="E49" s="31"/>
      <c r="F49" s="31"/>
      <c r="G49" s="31"/>
      <c r="H49" s="31"/>
    </row>
    <row r="50" s="8" customFormat="1" ht="18" customHeight="1"/>
    <row r="51" s="8" customFormat="1" ht="18" customHeight="1"/>
    <row r="52" s="8" customFormat="1" ht="18" customHeight="1"/>
    <row r="53" s="8" customFormat="1" ht="18" customHeight="1"/>
    <row r="54" s="8" customFormat="1" ht="18" customHeight="1"/>
  </sheetData>
  <sheetProtection/>
  <mergeCells count="7">
    <mergeCell ref="A46:E46"/>
    <mergeCell ref="A47:E47"/>
    <mergeCell ref="A1:H1"/>
    <mergeCell ref="A2:H2"/>
    <mergeCell ref="A3:H3"/>
    <mergeCell ref="A24:E24"/>
    <mergeCell ref="A4:B4"/>
  </mergeCells>
  <printOptions/>
  <pageMargins left="0.9448818897637796" right="0.7480314960629921" top="0.15748031496062992" bottom="0.15748031496062992" header="0.15748031496062992" footer="0.15748031496062992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view="pageBreakPreview" zoomScaleSheetLayoutView="100" workbookViewId="0" topLeftCell="A28">
      <selection activeCell="G11" sqref="G11"/>
    </sheetView>
  </sheetViews>
  <sheetFormatPr defaultColWidth="9.7109375" defaultRowHeight="12.75"/>
  <cols>
    <col min="1" max="1" width="4.7109375" style="172" customWidth="1"/>
    <col min="2" max="2" width="36.28125" style="275" customWidth="1"/>
    <col min="3" max="3" width="8.00390625" style="231" bestFit="1" customWidth="1"/>
    <col min="4" max="4" width="12.00390625" style="232" bestFit="1" customWidth="1"/>
    <col min="5" max="5" width="11.28125" style="233" bestFit="1" customWidth="1"/>
    <col min="6" max="7" width="12.00390625" style="233" bestFit="1" customWidth="1"/>
    <col min="8" max="8" width="12.140625" style="232" bestFit="1" customWidth="1"/>
    <col min="9" max="16384" width="9.7109375" style="172" customWidth="1"/>
  </cols>
  <sheetData>
    <row r="1" spans="1:13" s="161" customFormat="1" ht="18.75" customHeight="1">
      <c r="A1" s="315" t="s">
        <v>0</v>
      </c>
      <c r="B1" s="315"/>
      <c r="C1" s="315"/>
      <c r="D1" s="315"/>
      <c r="E1" s="315"/>
      <c r="F1" s="315"/>
      <c r="G1" s="315"/>
      <c r="H1" s="315"/>
      <c r="I1" s="160"/>
      <c r="J1" s="160"/>
      <c r="K1" s="160"/>
      <c r="L1" s="160"/>
      <c r="M1" s="316"/>
    </row>
    <row r="2" spans="1:13" s="161" customFormat="1" ht="18.75" customHeight="1">
      <c r="A2" s="315" t="s">
        <v>188</v>
      </c>
      <c r="B2" s="315"/>
      <c r="C2" s="315"/>
      <c r="D2" s="315"/>
      <c r="E2" s="315"/>
      <c r="F2" s="315"/>
      <c r="G2" s="315"/>
      <c r="H2" s="315"/>
      <c r="I2" s="162"/>
      <c r="J2" s="162"/>
      <c r="K2" s="162"/>
      <c r="L2" s="162"/>
      <c r="M2" s="316"/>
    </row>
    <row r="3" spans="1:13" s="161" customFormat="1" ht="18.75" customHeight="1">
      <c r="A3" s="315" t="s">
        <v>189</v>
      </c>
      <c r="B3" s="315"/>
      <c r="C3" s="315"/>
      <c r="D3" s="315"/>
      <c r="E3" s="315"/>
      <c r="F3" s="315"/>
      <c r="G3" s="315"/>
      <c r="H3" s="315"/>
      <c r="I3" s="160"/>
      <c r="J3" s="160"/>
      <c r="K3" s="160"/>
      <c r="L3" s="160"/>
      <c r="M3" s="316"/>
    </row>
    <row r="4" spans="1:13" s="161" customFormat="1" ht="18.75" customHeight="1">
      <c r="A4" s="163"/>
      <c r="B4" s="163"/>
      <c r="C4" s="317" t="s">
        <v>255</v>
      </c>
      <c r="D4" s="317"/>
      <c r="E4" s="317"/>
      <c r="F4" s="163"/>
      <c r="G4" s="163"/>
      <c r="H4" s="163" t="s">
        <v>190</v>
      </c>
      <c r="I4" s="160"/>
      <c r="J4" s="160"/>
      <c r="K4" s="160"/>
      <c r="L4" s="160"/>
      <c r="M4" s="316"/>
    </row>
    <row r="5" spans="1:8" s="161" customFormat="1" ht="34.5" customHeight="1">
      <c r="A5" s="320" t="s">
        <v>191</v>
      </c>
      <c r="B5" s="321"/>
      <c r="C5" s="164" t="s">
        <v>3</v>
      </c>
      <c r="D5" s="165" t="s">
        <v>5</v>
      </c>
      <c r="E5" s="166" t="s">
        <v>124</v>
      </c>
      <c r="F5" s="166" t="s">
        <v>121</v>
      </c>
      <c r="G5" s="166" t="s">
        <v>192</v>
      </c>
      <c r="H5" s="165" t="s">
        <v>122</v>
      </c>
    </row>
    <row r="6" spans="1:8" ht="18.75">
      <c r="A6" s="167" t="s">
        <v>43</v>
      </c>
      <c r="B6" s="168"/>
      <c r="C6" s="169"/>
      <c r="D6" s="170"/>
      <c r="E6" s="171"/>
      <c r="F6" s="171"/>
      <c r="G6" s="171"/>
      <c r="H6" s="170"/>
    </row>
    <row r="7" spans="1:8" ht="18.75" customHeight="1">
      <c r="A7" s="322" t="s">
        <v>193</v>
      </c>
      <c r="B7" s="323"/>
      <c r="C7" s="173"/>
      <c r="D7" s="174"/>
      <c r="E7" s="175"/>
      <c r="F7" s="175"/>
      <c r="G7" s="175"/>
      <c r="H7" s="174"/>
    </row>
    <row r="8" spans="1:8" ht="18.75">
      <c r="A8" s="176"/>
      <c r="B8" s="177" t="s">
        <v>194</v>
      </c>
      <c r="C8" s="178">
        <v>411001</v>
      </c>
      <c r="D8" s="179">
        <v>185000</v>
      </c>
      <c r="E8" s="180">
        <f>'[1]ใบผ่าน3'!X7</f>
        <v>12885</v>
      </c>
      <c r="F8" s="180">
        <f>'[1]ทะเบียนรายรับรวม'!Q8</f>
        <v>45</v>
      </c>
      <c r="G8" s="180">
        <f>E8+F8</f>
        <v>12930</v>
      </c>
      <c r="H8" s="179">
        <f aca="true" t="shared" si="0" ref="H8:H70">G8-D8</f>
        <v>-172070</v>
      </c>
    </row>
    <row r="9" spans="1:8" ht="18.75">
      <c r="A9" s="176"/>
      <c r="B9" s="177" t="s">
        <v>195</v>
      </c>
      <c r="C9" s="178">
        <v>411002</v>
      </c>
      <c r="D9" s="179">
        <v>16000</v>
      </c>
      <c r="E9" s="180">
        <f>'[1]ใบผ่าน3'!X8</f>
        <v>1988.3500000000001</v>
      </c>
      <c r="F9" s="180">
        <f>'[1]ทะเบียนรายรับรวม'!Q9</f>
        <v>745.75</v>
      </c>
      <c r="G9" s="180">
        <f>E9+F9</f>
        <v>2734.1000000000004</v>
      </c>
      <c r="H9" s="179">
        <f t="shared" si="0"/>
        <v>-13265.9</v>
      </c>
    </row>
    <row r="10" spans="1:8" ht="18.75">
      <c r="A10" s="176"/>
      <c r="B10" s="177" t="s">
        <v>196</v>
      </c>
      <c r="C10" s="178">
        <v>411003</v>
      </c>
      <c r="D10" s="179">
        <v>12000</v>
      </c>
      <c r="E10" s="180">
        <f>'[1]ใบผ่าน3'!X9</f>
        <v>600</v>
      </c>
      <c r="F10" s="180">
        <f>'[1]ทะเบียนรายรับรวม'!Q10</f>
        <v>0</v>
      </c>
      <c r="G10" s="180">
        <f>E10+F10</f>
        <v>600</v>
      </c>
      <c r="H10" s="179">
        <f t="shared" si="0"/>
        <v>-11400</v>
      </c>
    </row>
    <row r="11" spans="1:8" ht="19.5" thickBot="1">
      <c r="A11" s="181"/>
      <c r="B11" s="182" t="s">
        <v>197</v>
      </c>
      <c r="C11" s="183">
        <v>411005</v>
      </c>
      <c r="D11" s="184">
        <v>122000</v>
      </c>
      <c r="E11" s="180">
        <f>'[1]ใบผ่าน3'!X10</f>
        <v>0</v>
      </c>
      <c r="F11" s="180">
        <f>'[1]ทะเบียนรายรับรวม'!Q11</f>
        <v>39478.38</v>
      </c>
      <c r="G11" s="185">
        <f>E11+F11</f>
        <v>39478.38</v>
      </c>
      <c r="H11" s="184">
        <f t="shared" si="0"/>
        <v>-82521.62</v>
      </c>
    </row>
    <row r="12" spans="1:8" ht="19.5" thickBot="1">
      <c r="A12" s="186"/>
      <c r="B12" s="187" t="s">
        <v>85</v>
      </c>
      <c r="C12" s="188"/>
      <c r="D12" s="189">
        <v>335000</v>
      </c>
      <c r="E12" s="190">
        <f>SUM(E8:E11)</f>
        <v>15473.35</v>
      </c>
      <c r="F12" s="190">
        <f>SUM(F8:F11)</f>
        <v>40269.13</v>
      </c>
      <c r="G12" s="190">
        <f>SUM(G8:G11)</f>
        <v>55742.479999999996</v>
      </c>
      <c r="H12" s="190">
        <f>SUM(H8:H11)</f>
        <v>-279257.52</v>
      </c>
    </row>
    <row r="13" spans="1:8" ht="18.75" customHeight="1">
      <c r="A13" s="324" t="s">
        <v>198</v>
      </c>
      <c r="B13" s="300"/>
      <c r="C13" s="191"/>
      <c r="D13" s="192"/>
      <c r="E13" s="193"/>
      <c r="F13" s="180">
        <f>'[1]ทะเบียนรายรับรวม'!Q13</f>
        <v>0</v>
      </c>
      <c r="G13" s="194">
        <f aca="true" t="shared" si="1" ref="G13:G25">E13+F13</f>
        <v>0</v>
      </c>
      <c r="H13" s="195">
        <f t="shared" si="0"/>
        <v>0</v>
      </c>
    </row>
    <row r="14" spans="1:8" ht="18.75">
      <c r="A14" s="176"/>
      <c r="B14" s="177" t="s">
        <v>199</v>
      </c>
      <c r="C14" s="178">
        <v>412106</v>
      </c>
      <c r="D14" s="179">
        <v>3000</v>
      </c>
      <c r="E14" s="180">
        <f>'[1]ใบผ่าน3'!X11</f>
        <v>0</v>
      </c>
      <c r="F14" s="180">
        <f>'[1]ทะเบียนรายรับรวม'!Q14</f>
        <v>641</v>
      </c>
      <c r="G14" s="180">
        <f t="shared" si="1"/>
        <v>641</v>
      </c>
      <c r="H14" s="179">
        <f t="shared" si="0"/>
        <v>-2359</v>
      </c>
    </row>
    <row r="15" spans="1:8" ht="18.75">
      <c r="A15" s="181"/>
      <c r="B15" s="182" t="s">
        <v>200</v>
      </c>
      <c r="C15" s="183">
        <v>412107</v>
      </c>
      <c r="D15" s="184">
        <v>120000</v>
      </c>
      <c r="E15" s="180">
        <f>'[1]ใบผ่าน3'!X12</f>
        <v>10840</v>
      </c>
      <c r="F15" s="180">
        <f>'[1]ทะเบียนรายรับรวม'!Q15</f>
        <v>32480</v>
      </c>
      <c r="G15" s="185">
        <f t="shared" si="1"/>
        <v>43320</v>
      </c>
      <c r="H15" s="184">
        <f t="shared" si="0"/>
        <v>-76680</v>
      </c>
    </row>
    <row r="16" spans="1:8" ht="18.75">
      <c r="A16" s="176"/>
      <c r="B16" s="177" t="s">
        <v>201</v>
      </c>
      <c r="C16" s="178">
        <v>412112</v>
      </c>
      <c r="D16" s="179">
        <v>5000</v>
      </c>
      <c r="E16" s="180">
        <f>'[1]ใบผ่าน3'!X13</f>
        <v>250</v>
      </c>
      <c r="F16" s="180">
        <f>'[1]ทะเบียนรายรับรวม'!Q16</f>
        <v>1350</v>
      </c>
      <c r="G16" s="180">
        <f t="shared" si="1"/>
        <v>1600</v>
      </c>
      <c r="H16" s="179">
        <f t="shared" si="0"/>
        <v>-3400</v>
      </c>
    </row>
    <row r="17" spans="1:8" ht="18.75">
      <c r="A17" s="181"/>
      <c r="B17" s="182" t="s">
        <v>202</v>
      </c>
      <c r="C17" s="183">
        <v>412128</v>
      </c>
      <c r="D17" s="196">
        <v>200</v>
      </c>
      <c r="E17" s="180">
        <f>'[1]ใบผ่าน3'!X14</f>
        <v>0</v>
      </c>
      <c r="F17" s="180">
        <f>'[1]ทะเบียนรายรับรวม'!Q17</f>
        <v>0</v>
      </c>
      <c r="G17" s="185">
        <f t="shared" si="1"/>
        <v>0</v>
      </c>
      <c r="H17" s="184">
        <f t="shared" si="0"/>
        <v>-200</v>
      </c>
    </row>
    <row r="18" spans="1:8" ht="18.75">
      <c r="A18" s="176"/>
      <c r="B18" s="177" t="s">
        <v>203</v>
      </c>
      <c r="C18" s="178">
        <v>412202</v>
      </c>
      <c r="D18" s="197">
        <v>400</v>
      </c>
      <c r="E18" s="180">
        <f>'[1]ใบผ่าน3'!X15</f>
        <v>0</v>
      </c>
      <c r="F18" s="180">
        <f>'[1]ทะเบียนรายรับรวม'!Q18</f>
        <v>0</v>
      </c>
      <c r="G18" s="180">
        <f t="shared" si="1"/>
        <v>0</v>
      </c>
      <c r="H18" s="179">
        <f t="shared" si="0"/>
        <v>-400</v>
      </c>
    </row>
    <row r="19" spans="1:8" ht="18.75">
      <c r="A19" s="198"/>
      <c r="B19" s="199" t="s">
        <v>204</v>
      </c>
      <c r="C19" s="200">
        <v>412210</v>
      </c>
      <c r="D19" s="201">
        <v>190000</v>
      </c>
      <c r="E19" s="180">
        <f>'[1]ใบผ่าน3'!X16</f>
        <v>10552.5</v>
      </c>
      <c r="F19" s="180">
        <f>'[1]ทะเบียนรายรับรวม'!Q19</f>
        <v>27280</v>
      </c>
      <c r="G19" s="202">
        <f t="shared" si="1"/>
        <v>37832.5</v>
      </c>
      <c r="H19" s="201">
        <f t="shared" si="0"/>
        <v>-152167.5</v>
      </c>
    </row>
    <row r="20" spans="1:8" ht="37.5">
      <c r="A20" s="176"/>
      <c r="B20" s="177" t="s">
        <v>205</v>
      </c>
      <c r="C20" s="197">
        <v>412303</v>
      </c>
      <c r="D20" s="179">
        <v>12000</v>
      </c>
      <c r="E20" s="180">
        <f>'[1]ใบผ่าน3'!X17</f>
        <v>600</v>
      </c>
      <c r="F20" s="180">
        <f>'[1]ทะเบียนรายรับรวม'!Q20</f>
        <v>12125</v>
      </c>
      <c r="G20" s="180">
        <f t="shared" si="1"/>
        <v>12725</v>
      </c>
      <c r="H20" s="179">
        <f t="shared" si="0"/>
        <v>725</v>
      </c>
    </row>
    <row r="21" spans="1:8" ht="37.5">
      <c r="A21" s="176"/>
      <c r="B21" s="177" t="s">
        <v>206</v>
      </c>
      <c r="C21" s="197">
        <v>412304</v>
      </c>
      <c r="D21" s="179">
        <v>9000</v>
      </c>
      <c r="E21" s="180">
        <f>'[1]ใบผ่าน3'!X18</f>
        <v>900</v>
      </c>
      <c r="F21" s="180">
        <f>'[1]ทะเบียนรายรับรวม'!Q21</f>
        <v>5600</v>
      </c>
      <c r="G21" s="180">
        <f t="shared" si="1"/>
        <v>6500</v>
      </c>
      <c r="H21" s="179">
        <f t="shared" si="0"/>
        <v>-2500</v>
      </c>
    </row>
    <row r="22" spans="1:8" ht="18.75">
      <c r="A22" s="176"/>
      <c r="B22" s="177" t="s">
        <v>207</v>
      </c>
      <c r="C22" s="178">
        <v>412306</v>
      </c>
      <c r="D22" s="197">
        <v>500</v>
      </c>
      <c r="E22" s="180">
        <f>'[1]ใบผ่าน3'!X19</f>
        <v>0</v>
      </c>
      <c r="F22" s="180">
        <f>'[1]ทะเบียนรายรับรวม'!Q22</f>
        <v>0</v>
      </c>
      <c r="G22" s="180">
        <f t="shared" si="1"/>
        <v>0</v>
      </c>
      <c r="H22" s="179">
        <f t="shared" si="0"/>
        <v>-500</v>
      </c>
    </row>
    <row r="23" spans="1:8" ht="18.75">
      <c r="A23" s="176"/>
      <c r="B23" s="177" t="s">
        <v>208</v>
      </c>
      <c r="C23" s="178">
        <v>412307</v>
      </c>
      <c r="D23" s="197">
        <v>200</v>
      </c>
      <c r="E23" s="180">
        <f>'[1]ใบผ่าน3'!X20</f>
        <v>0</v>
      </c>
      <c r="F23" s="180">
        <f>'[1]ทะเบียนรายรับรวม'!Q23</f>
        <v>40</v>
      </c>
      <c r="G23" s="180">
        <f t="shared" si="1"/>
        <v>40</v>
      </c>
      <c r="H23" s="179">
        <f t="shared" si="0"/>
        <v>-160</v>
      </c>
    </row>
    <row r="24" spans="1:8" ht="37.5">
      <c r="A24" s="176"/>
      <c r="B24" s="177" t="s">
        <v>209</v>
      </c>
      <c r="C24" s="178">
        <v>412308</v>
      </c>
      <c r="D24" s="197">
        <v>200</v>
      </c>
      <c r="E24" s="180">
        <f>'[1]ใบผ่าน3'!X21</f>
        <v>0</v>
      </c>
      <c r="F24" s="180">
        <f>'[1]ทะเบียนรายรับรวม'!Q24</f>
        <v>0</v>
      </c>
      <c r="G24" s="180">
        <f t="shared" si="1"/>
        <v>0</v>
      </c>
      <c r="H24" s="179">
        <f t="shared" si="0"/>
        <v>-200</v>
      </c>
    </row>
    <row r="25" spans="1:8" ht="19.5" thickBot="1">
      <c r="A25" s="181"/>
      <c r="B25" s="182" t="s">
        <v>210</v>
      </c>
      <c r="C25" s="183">
        <v>412399</v>
      </c>
      <c r="D25" s="184">
        <v>1500</v>
      </c>
      <c r="E25" s="180">
        <f>'[1]ใบผ่าน3'!X22</f>
        <v>0</v>
      </c>
      <c r="F25" s="180">
        <f>'[1]ทะเบียนรายรับรวม'!Q25</f>
        <v>200</v>
      </c>
      <c r="G25" s="185">
        <f t="shared" si="1"/>
        <v>200</v>
      </c>
      <c r="H25" s="184">
        <f t="shared" si="0"/>
        <v>-1300</v>
      </c>
    </row>
    <row r="26" spans="1:8" ht="19.5" customHeight="1" thickBot="1">
      <c r="A26" s="325" t="s">
        <v>86</v>
      </c>
      <c r="B26" s="314"/>
      <c r="C26" s="188"/>
      <c r="D26" s="189">
        <f>SUM(D14:D25)</f>
        <v>342000</v>
      </c>
      <c r="E26" s="189">
        <f>SUM(E14:E25)</f>
        <v>23142.5</v>
      </c>
      <c r="F26" s="189">
        <f>SUM(F14:F25)</f>
        <v>79716</v>
      </c>
      <c r="G26" s="189">
        <f>SUM(G14:G25)</f>
        <v>102858.5</v>
      </c>
      <c r="H26" s="189">
        <f>SUM(H14:H25)</f>
        <v>-239141.5</v>
      </c>
    </row>
    <row r="27" spans="1:8" ht="18.75">
      <c r="A27" s="307" t="s">
        <v>211</v>
      </c>
      <c r="B27" s="308"/>
      <c r="C27" s="191"/>
      <c r="D27" s="192"/>
      <c r="E27" s="193"/>
      <c r="F27" s="180">
        <f>'[1]ทะเบียนรายรับรวม'!Q27</f>
        <v>0</v>
      </c>
      <c r="G27" s="193"/>
      <c r="H27" s="195"/>
    </row>
    <row r="28" spans="1:8" ht="18.75">
      <c r="A28" s="176"/>
      <c r="B28" s="177" t="s">
        <v>212</v>
      </c>
      <c r="C28" s="178">
        <v>413001</v>
      </c>
      <c r="D28" s="180">
        <v>0</v>
      </c>
      <c r="E28" s="180">
        <f>'[1]ใบผ่าน3'!X23</f>
        <v>0</v>
      </c>
      <c r="F28" s="180">
        <f>'[1]ทะเบียนรายรับรวม'!Q28</f>
        <v>0</v>
      </c>
      <c r="G28" s="180">
        <f>E28+F28</f>
        <v>0</v>
      </c>
      <c r="H28" s="179">
        <f t="shared" si="0"/>
        <v>0</v>
      </c>
    </row>
    <row r="29" spans="1:8" ht="18.75">
      <c r="A29" s="176"/>
      <c r="B29" s="177" t="s">
        <v>213</v>
      </c>
      <c r="C29" s="178">
        <v>413002</v>
      </c>
      <c r="D29" s="179">
        <v>85000</v>
      </c>
      <c r="E29" s="180">
        <f>'[1]ใบผ่าน3'!X24</f>
        <v>13615</v>
      </c>
      <c r="F29" s="180">
        <f>'[1]ทะเบียนรายรับรวม'!Q29</f>
        <v>34280</v>
      </c>
      <c r="G29" s="180">
        <f>E29+F29</f>
        <v>47895</v>
      </c>
      <c r="H29" s="179">
        <f t="shared" si="0"/>
        <v>-37105</v>
      </c>
    </row>
    <row r="30" spans="1:8" ht="19.5" thickBot="1">
      <c r="A30" s="181"/>
      <c r="B30" s="182" t="s">
        <v>214</v>
      </c>
      <c r="C30" s="183">
        <v>413003</v>
      </c>
      <c r="D30" s="184">
        <v>576000</v>
      </c>
      <c r="E30" s="180">
        <f>'[1]ใบผ่าน3'!X25</f>
        <v>226334.41</v>
      </c>
      <c r="F30" s="180">
        <f>'[1]ทะเบียนรายรับรวม'!Q30</f>
        <v>24473.149999999998</v>
      </c>
      <c r="G30" s="185">
        <f>E30+F30</f>
        <v>250807.56</v>
      </c>
      <c r="H30" s="184">
        <f t="shared" si="0"/>
        <v>-325192.44</v>
      </c>
    </row>
    <row r="31" spans="1:8" ht="19.5" thickBot="1">
      <c r="A31" s="186"/>
      <c r="B31" s="274" t="s">
        <v>87</v>
      </c>
      <c r="C31" s="188"/>
      <c r="D31" s="190">
        <f>SUM(D28:D30)</f>
        <v>661000</v>
      </c>
      <c r="E31" s="190">
        <f>SUM(E28:E30)</f>
        <v>239949.41</v>
      </c>
      <c r="F31" s="190">
        <f>SUM(F28:F30)</f>
        <v>58753.149999999994</v>
      </c>
      <c r="G31" s="190">
        <f>SUM(G28:G30)</f>
        <v>298702.56</v>
      </c>
      <c r="H31" s="190">
        <f>SUM(H28:H30)</f>
        <v>-362297.44</v>
      </c>
    </row>
    <row r="32" spans="1:8" ht="18.75" customHeight="1">
      <c r="A32" s="309" t="s">
        <v>215</v>
      </c>
      <c r="B32" s="310"/>
      <c r="C32" s="191"/>
      <c r="D32" s="192"/>
      <c r="E32" s="193"/>
      <c r="F32" s="180">
        <f>'[1]ทะเบียนรายรับรวม'!Q32</f>
        <v>0</v>
      </c>
      <c r="G32" s="194"/>
      <c r="H32" s="195">
        <f t="shared" si="0"/>
        <v>0</v>
      </c>
    </row>
    <row r="33" spans="1:8" ht="37.5">
      <c r="A33" s="176"/>
      <c r="B33" s="177" t="s">
        <v>216</v>
      </c>
      <c r="C33" s="178">
        <v>414004</v>
      </c>
      <c r="D33" s="180">
        <v>0</v>
      </c>
      <c r="E33" s="180">
        <f>'[1]ใบผ่าน3'!X26</f>
        <v>0</v>
      </c>
      <c r="F33" s="180">
        <f>'[1]ทะเบียนรายรับรวม'!Q33</f>
        <v>0</v>
      </c>
      <c r="G33" s="180">
        <f>E33+F33</f>
        <v>0</v>
      </c>
      <c r="H33" s="179">
        <f t="shared" si="0"/>
        <v>0</v>
      </c>
    </row>
    <row r="34" spans="1:8" ht="19.5" thickBot="1">
      <c r="A34" s="181"/>
      <c r="B34" s="182" t="s">
        <v>217</v>
      </c>
      <c r="C34" s="183">
        <v>414006</v>
      </c>
      <c r="D34" s="185">
        <v>0</v>
      </c>
      <c r="E34" s="180">
        <f>'[1]ใบผ่าน3'!X27</f>
        <v>110919</v>
      </c>
      <c r="F34" s="180">
        <f>'[1]ทะเบียนรายรับรวม'!Q34</f>
        <v>289557</v>
      </c>
      <c r="G34" s="185">
        <f>E34+F34</f>
        <v>400476</v>
      </c>
      <c r="H34" s="184">
        <f t="shared" si="0"/>
        <v>400476</v>
      </c>
    </row>
    <row r="35" spans="1:8" ht="19.5" customHeight="1" thickBot="1">
      <c r="A35" s="297" t="s">
        <v>125</v>
      </c>
      <c r="B35" s="298"/>
      <c r="C35" s="188"/>
      <c r="D35" s="190">
        <f>SUM(D33:D34)</f>
        <v>0</v>
      </c>
      <c r="E35" s="190">
        <f>SUM(E33:E34)</f>
        <v>110919</v>
      </c>
      <c r="F35" s="190">
        <f>SUM(F33:F34)</f>
        <v>289557</v>
      </c>
      <c r="G35" s="190">
        <f>SUM(G33:G34)</f>
        <v>400476</v>
      </c>
      <c r="H35" s="190">
        <f>SUM(H33:H34)</f>
        <v>400476</v>
      </c>
    </row>
    <row r="36" spans="1:8" ht="18.75" customHeight="1">
      <c r="A36" s="299" t="s">
        <v>218</v>
      </c>
      <c r="B36" s="300"/>
      <c r="C36" s="191"/>
      <c r="D36" s="203"/>
      <c r="E36" s="193"/>
      <c r="F36" s="180">
        <f>'[1]ทะเบียนรายรับรวม'!Q36</f>
        <v>0</v>
      </c>
      <c r="G36" s="194"/>
      <c r="H36" s="204">
        <f t="shared" si="0"/>
        <v>0</v>
      </c>
    </row>
    <row r="37" spans="1:8" ht="18.75">
      <c r="A37" s="205"/>
      <c r="B37" s="177" t="s">
        <v>219</v>
      </c>
      <c r="C37" s="178">
        <v>415004</v>
      </c>
      <c r="D37" s="179">
        <v>137000</v>
      </c>
      <c r="E37" s="180">
        <f>'[1]ใบผ่าน3'!X28</f>
        <v>3000</v>
      </c>
      <c r="F37" s="180">
        <f>'[1]ทะเบียนรายรับรวม'!Q37</f>
        <v>0</v>
      </c>
      <c r="G37" s="180">
        <f>E37+F37</f>
        <v>3000</v>
      </c>
      <c r="H37" s="206">
        <f t="shared" si="0"/>
        <v>-134000</v>
      </c>
    </row>
    <row r="38" spans="1:8" ht="19.5" thickBot="1">
      <c r="A38" s="207"/>
      <c r="B38" s="182" t="s">
        <v>220</v>
      </c>
      <c r="C38" s="183">
        <v>415999</v>
      </c>
      <c r="D38" s="184">
        <v>10000</v>
      </c>
      <c r="E38" s="208">
        <f>'[1]ใบผ่าน3'!X29</f>
        <v>18500</v>
      </c>
      <c r="F38" s="208">
        <f>'[1]ทะเบียนรายรับรวม'!Q38</f>
        <v>610</v>
      </c>
      <c r="G38" s="185">
        <f>E38+F38</f>
        <v>19110</v>
      </c>
      <c r="H38" s="209">
        <f t="shared" si="0"/>
        <v>9110</v>
      </c>
    </row>
    <row r="39" spans="1:8" ht="19.5" thickBot="1">
      <c r="A39" s="210"/>
      <c r="B39" s="274" t="s">
        <v>88</v>
      </c>
      <c r="C39" s="188"/>
      <c r="D39" s="189">
        <f>SUM(D37:D38)</f>
        <v>147000</v>
      </c>
      <c r="E39" s="190">
        <f>SUM(E37:E38)</f>
        <v>21500</v>
      </c>
      <c r="F39" s="211">
        <f>'[1]ทะเบียนรายรับรวม'!Q39</f>
        <v>610</v>
      </c>
      <c r="G39" s="190">
        <f>SUM(G37:G38)</f>
        <v>22110</v>
      </c>
      <c r="H39" s="212">
        <f>SUM(H37:H38)</f>
        <v>-124890</v>
      </c>
    </row>
    <row r="40" spans="1:8" ht="19.5" thickBot="1">
      <c r="A40" s="301" t="s">
        <v>221</v>
      </c>
      <c r="B40" s="302"/>
      <c r="C40" s="188"/>
      <c r="D40" s="189">
        <f>D12+D26+D31+D35+D39</f>
        <v>1485000</v>
      </c>
      <c r="E40" s="189">
        <f>E12+E26+E31+E35+E39</f>
        <v>410984.26</v>
      </c>
      <c r="F40" s="189">
        <f>F12+F26+F31+F35+F39</f>
        <v>468905.28</v>
      </c>
      <c r="G40" s="189">
        <f>G12+G26+G31+G35+G39</f>
        <v>879889.54</v>
      </c>
      <c r="H40" s="189">
        <f>H12+H26+H31+H35+H39</f>
        <v>-605110.46</v>
      </c>
    </row>
    <row r="41" spans="1:8" ht="18.75" customHeight="1">
      <c r="A41" s="303" t="s">
        <v>222</v>
      </c>
      <c r="B41" s="304"/>
      <c r="C41" s="191"/>
      <c r="D41" s="192"/>
      <c r="E41" s="192"/>
      <c r="F41" s="180">
        <f>'[1]ทะเบียนรายรับรวม'!Q41</f>
        <v>0</v>
      </c>
      <c r="G41" s="192"/>
      <c r="H41" s="192"/>
    </row>
    <row r="42" spans="1:8" ht="18.75" customHeight="1">
      <c r="A42" s="305" t="s">
        <v>223</v>
      </c>
      <c r="B42" s="306"/>
      <c r="C42" s="213"/>
      <c r="D42" s="214"/>
      <c r="E42" s="215"/>
      <c r="F42" s="180">
        <f>'[1]ทะเบียนรายรับรวม'!Q42</f>
        <v>0</v>
      </c>
      <c r="G42" s="180"/>
      <c r="H42" s="179">
        <f t="shared" si="0"/>
        <v>0</v>
      </c>
    </row>
    <row r="43" spans="1:8" ht="18.75" customHeight="1">
      <c r="A43" s="176"/>
      <c r="B43" s="177" t="s">
        <v>224</v>
      </c>
      <c r="C43" s="178">
        <v>421001</v>
      </c>
      <c r="D43" s="179">
        <v>350000</v>
      </c>
      <c r="E43" s="180">
        <f>'[1]ใบผ่าน3'!X30</f>
        <v>163291.89</v>
      </c>
      <c r="F43" s="180">
        <f>'[1]ทะเบียนรายรับรวม'!Q43</f>
        <v>40277.9</v>
      </c>
      <c r="G43" s="180">
        <f aca="true" t="shared" si="2" ref="G43:G70">E43+F43</f>
        <v>203569.79</v>
      </c>
      <c r="H43" s="179">
        <f t="shared" si="0"/>
        <v>-146430.21</v>
      </c>
    </row>
    <row r="44" spans="1:8" ht="18.75" customHeight="1">
      <c r="A44" s="176"/>
      <c r="B44" s="177" t="s">
        <v>225</v>
      </c>
      <c r="C44" s="178">
        <v>421002</v>
      </c>
      <c r="D44" s="179">
        <v>13260000</v>
      </c>
      <c r="E44" s="180">
        <f>'[1]ใบผ่าน3'!X31</f>
        <v>1102634.9</v>
      </c>
      <c r="F44" s="180">
        <f>'[1]ทะเบียนรายรับรวม'!Q44</f>
        <v>3398825.6899999995</v>
      </c>
      <c r="G44" s="180">
        <f t="shared" si="2"/>
        <v>4501460.59</v>
      </c>
      <c r="H44" s="179">
        <f t="shared" si="0"/>
        <v>-8758539.41</v>
      </c>
    </row>
    <row r="45" spans="1:8" ht="18.75" customHeight="1">
      <c r="A45" s="176"/>
      <c r="B45" s="177" t="s">
        <v>226</v>
      </c>
      <c r="C45" s="178">
        <v>421004</v>
      </c>
      <c r="D45" s="179">
        <v>1775000</v>
      </c>
      <c r="E45" s="180">
        <f>'[1]ใบผ่าน3'!X32</f>
        <v>0</v>
      </c>
      <c r="F45" s="180">
        <f>'[1]ทะเบียนรายรับรวม'!Q45</f>
        <v>442276.05000000005</v>
      </c>
      <c r="G45" s="180">
        <f t="shared" si="2"/>
        <v>442276.05000000005</v>
      </c>
      <c r="H45" s="179">
        <f t="shared" si="0"/>
        <v>-1332723.95</v>
      </c>
    </row>
    <row r="46" spans="1:8" ht="18.75" customHeight="1">
      <c r="A46" s="176"/>
      <c r="B46" s="177" t="s">
        <v>227</v>
      </c>
      <c r="C46" s="178">
        <v>421005</v>
      </c>
      <c r="D46" s="179">
        <v>20000</v>
      </c>
      <c r="E46" s="180">
        <f>'[1]ใบผ่าน3'!X33</f>
        <v>0</v>
      </c>
      <c r="F46" s="180">
        <f>'[1]ทะเบียนรายรับรวม'!Q46</f>
        <v>0</v>
      </c>
      <c r="G46" s="180">
        <f t="shared" si="2"/>
        <v>0</v>
      </c>
      <c r="H46" s="179">
        <f t="shared" si="0"/>
        <v>-20000</v>
      </c>
    </row>
    <row r="47" spans="1:8" ht="18.75" customHeight="1">
      <c r="A47" s="176"/>
      <c r="B47" s="177" t="s">
        <v>228</v>
      </c>
      <c r="C47" s="178">
        <v>421006</v>
      </c>
      <c r="D47" s="179">
        <v>740000</v>
      </c>
      <c r="E47" s="180">
        <f>'[1]ใบผ่าน3'!X34</f>
        <v>0</v>
      </c>
      <c r="F47" s="180">
        <f>'[1]ทะเบียนรายรับรวม'!Q47</f>
        <v>188499.93</v>
      </c>
      <c r="G47" s="180">
        <f t="shared" si="2"/>
        <v>188499.93</v>
      </c>
      <c r="H47" s="179">
        <f t="shared" si="0"/>
        <v>-551500.0700000001</v>
      </c>
    </row>
    <row r="48" spans="1:8" ht="18.75" customHeight="1">
      <c r="A48" s="176"/>
      <c r="B48" s="177" t="s">
        <v>229</v>
      </c>
      <c r="C48" s="178">
        <v>421007</v>
      </c>
      <c r="D48" s="179">
        <v>1400000</v>
      </c>
      <c r="E48" s="180">
        <f>'[1]ใบผ่าน3'!X35</f>
        <v>232.8</v>
      </c>
      <c r="F48" s="180">
        <f>'[1]ทะเบียนรายรับรวม'!Q48</f>
        <v>384947.02</v>
      </c>
      <c r="G48" s="180">
        <f t="shared" si="2"/>
        <v>385179.82</v>
      </c>
      <c r="H48" s="179">
        <f t="shared" si="0"/>
        <v>-1014820.1799999999</v>
      </c>
    </row>
    <row r="49" spans="1:8" ht="18.75" customHeight="1">
      <c r="A49" s="176"/>
      <c r="B49" s="177" t="s">
        <v>230</v>
      </c>
      <c r="C49" s="178">
        <v>421012</v>
      </c>
      <c r="D49" s="179">
        <v>35000</v>
      </c>
      <c r="E49" s="180">
        <f>'[1]ใบผ่าน3'!X36</f>
        <v>0</v>
      </c>
      <c r="F49" s="180">
        <f>'[1]ทะเบียนรายรับรวม'!Q49</f>
        <v>0</v>
      </c>
      <c r="G49" s="180">
        <f t="shared" si="2"/>
        <v>0</v>
      </c>
      <c r="H49" s="179">
        <f t="shared" si="0"/>
        <v>-35000</v>
      </c>
    </row>
    <row r="50" spans="1:8" ht="18.75" customHeight="1">
      <c r="A50" s="176"/>
      <c r="B50" s="177" t="s">
        <v>231</v>
      </c>
      <c r="C50" s="178">
        <v>421013</v>
      </c>
      <c r="D50" s="179">
        <v>60000</v>
      </c>
      <c r="E50" s="180">
        <f>'[1]ใบผ่าน3'!X37</f>
        <v>0</v>
      </c>
      <c r="F50" s="180">
        <f>'[1]ทะเบียนรายรับรวม'!Q50</f>
        <v>8254.76</v>
      </c>
      <c r="G50" s="180">
        <f t="shared" si="2"/>
        <v>8254.76</v>
      </c>
      <c r="H50" s="179">
        <f t="shared" si="0"/>
        <v>-51745.24</v>
      </c>
    </row>
    <row r="51" spans="1:8" ht="18.75" customHeight="1" thickBot="1">
      <c r="A51" s="181"/>
      <c r="B51" s="182" t="s">
        <v>232</v>
      </c>
      <c r="C51" s="183">
        <v>421015</v>
      </c>
      <c r="D51" s="184">
        <v>325000</v>
      </c>
      <c r="E51" s="180">
        <f>'[1]ใบผ่าน3'!X38</f>
        <v>6321</v>
      </c>
      <c r="F51" s="180">
        <f>'[1]ทะเบียนรายรับรวม'!Q51</f>
        <v>74332</v>
      </c>
      <c r="G51" s="185">
        <f t="shared" si="2"/>
        <v>80653</v>
      </c>
      <c r="H51" s="184">
        <f t="shared" si="0"/>
        <v>-244347</v>
      </c>
    </row>
    <row r="52" spans="1:17" ht="18.75" customHeight="1" thickBot="1">
      <c r="A52" s="186"/>
      <c r="B52" s="274" t="s">
        <v>89</v>
      </c>
      <c r="C52" s="188"/>
      <c r="D52" s="189">
        <f>SUM(D43:D51)</f>
        <v>17965000</v>
      </c>
      <c r="E52" s="190">
        <f>SUM(E43:E51)</f>
        <v>1272480.59</v>
      </c>
      <c r="F52" s="190">
        <f>SUM(F43:F51)</f>
        <v>4537413.35</v>
      </c>
      <c r="G52" s="190">
        <f>SUM(G43:G51)</f>
        <v>5809893.9399999995</v>
      </c>
      <c r="H52" s="216">
        <f t="shared" si="0"/>
        <v>-12155106.06</v>
      </c>
      <c r="Q52" s="217"/>
    </row>
    <row r="53" spans="1:17" ht="18.75" customHeight="1">
      <c r="A53" s="318" t="s">
        <v>233</v>
      </c>
      <c r="B53" s="319"/>
      <c r="C53" s="191"/>
      <c r="D53" s="192"/>
      <c r="E53" s="193"/>
      <c r="F53" s="180">
        <f>'[1]ทะเบียนรายรับรวม'!Q53</f>
        <v>0</v>
      </c>
      <c r="G53" s="194"/>
      <c r="H53" s="195"/>
      <c r="Q53" s="218"/>
    </row>
    <row r="54" spans="1:17" ht="18.75" customHeight="1">
      <c r="A54" s="305" t="s">
        <v>234</v>
      </c>
      <c r="B54" s="306"/>
      <c r="C54" s="213"/>
      <c r="D54" s="214"/>
      <c r="E54" s="215"/>
      <c r="F54" s="180">
        <f>'[1]ทะเบียนรายรับรวม'!Q54</f>
        <v>0</v>
      </c>
      <c r="G54" s="180">
        <f t="shared" si="2"/>
        <v>0</v>
      </c>
      <c r="H54" s="179">
        <f t="shared" si="0"/>
        <v>0</v>
      </c>
      <c r="Q54" s="218"/>
    </row>
    <row r="55" spans="1:17" ht="18.75" customHeight="1">
      <c r="A55" s="176"/>
      <c r="B55" s="219" t="s">
        <v>235</v>
      </c>
      <c r="C55" s="178">
        <v>431002</v>
      </c>
      <c r="D55" s="179">
        <v>15000000</v>
      </c>
      <c r="E55" s="180">
        <f>'[1]ใบผ่าน3'!X39</f>
        <v>3294107</v>
      </c>
      <c r="F55" s="180">
        <f>'[1]ทะเบียนรายรับรวม'!Q55</f>
        <v>3294107</v>
      </c>
      <c r="G55" s="180">
        <f t="shared" si="2"/>
        <v>6588214</v>
      </c>
      <c r="H55" s="180">
        <f t="shared" si="0"/>
        <v>-8411786</v>
      </c>
      <c r="Q55" s="218"/>
    </row>
    <row r="56" spans="1:17" ht="18.75" customHeight="1">
      <c r="A56" s="176"/>
      <c r="B56" s="220" t="s">
        <v>236</v>
      </c>
      <c r="C56" s="178"/>
      <c r="D56" s="179"/>
      <c r="E56" s="180">
        <f>'[1]ใบผ่าน3'!X40</f>
        <v>243219</v>
      </c>
      <c r="F56" s="180">
        <f>'[1]ทะเบียนรายรับรวม'!Q56</f>
        <v>103391</v>
      </c>
      <c r="G56" s="180">
        <f t="shared" si="2"/>
        <v>346610</v>
      </c>
      <c r="H56" s="180">
        <f t="shared" si="0"/>
        <v>346610</v>
      </c>
      <c r="Q56" s="218"/>
    </row>
    <row r="57" spans="1:17" ht="18.75" customHeight="1">
      <c r="A57" s="176"/>
      <c r="B57" s="220" t="s">
        <v>237</v>
      </c>
      <c r="C57" s="178"/>
      <c r="D57" s="179"/>
      <c r="E57" s="180">
        <f>'[1]ใบผ่าน3'!X41</f>
        <v>377000</v>
      </c>
      <c r="F57" s="180">
        <f>'[1]ทะเบียนรายรับรวม'!Q57</f>
        <v>363000</v>
      </c>
      <c r="G57" s="180">
        <f t="shared" si="2"/>
        <v>740000</v>
      </c>
      <c r="H57" s="180">
        <f t="shared" si="0"/>
        <v>740000</v>
      </c>
      <c r="Q57" s="217"/>
    </row>
    <row r="58" spans="1:17" ht="18.75" customHeight="1">
      <c r="A58" s="176"/>
      <c r="B58" s="221" t="s">
        <v>238</v>
      </c>
      <c r="C58" s="178"/>
      <c r="D58" s="179"/>
      <c r="E58" s="180">
        <f>'[1]ใบผ่าน3'!X42</f>
        <v>0</v>
      </c>
      <c r="F58" s="180">
        <f>'[1]ทะเบียนรายรับรวม'!Q58</f>
        <v>10000</v>
      </c>
      <c r="G58" s="180">
        <f t="shared" si="2"/>
        <v>10000</v>
      </c>
      <c r="H58" s="180">
        <f t="shared" si="0"/>
        <v>10000</v>
      </c>
      <c r="Q58" s="217"/>
    </row>
    <row r="59" spans="1:17" ht="18.75" customHeight="1">
      <c r="A59" s="176"/>
      <c r="B59" s="222" t="s">
        <v>239</v>
      </c>
      <c r="C59" s="178"/>
      <c r="D59" s="179"/>
      <c r="E59" s="180">
        <f>'[1]ใบผ่าน3'!X43</f>
        <v>0</v>
      </c>
      <c r="F59" s="180">
        <f>'[1]ทะเบียนรายรับรวม'!Q59</f>
        <v>30000</v>
      </c>
      <c r="G59" s="180">
        <f t="shared" si="2"/>
        <v>30000</v>
      </c>
      <c r="H59" s="180">
        <f t="shared" si="0"/>
        <v>30000</v>
      </c>
      <c r="Q59" s="276"/>
    </row>
    <row r="60" spans="1:8" ht="18.75" customHeight="1" thickBot="1">
      <c r="A60" s="176"/>
      <c r="B60" s="220" t="s">
        <v>240</v>
      </c>
      <c r="C60" s="178"/>
      <c r="D60" s="179"/>
      <c r="E60" s="180">
        <v>0</v>
      </c>
      <c r="F60" s="180">
        <f>'[1]ทะเบียนรายรับรวม'!Q60</f>
        <v>0</v>
      </c>
      <c r="G60" s="180">
        <f t="shared" si="2"/>
        <v>0</v>
      </c>
      <c r="H60" s="180">
        <f t="shared" si="0"/>
        <v>0</v>
      </c>
    </row>
    <row r="61" spans="1:8" ht="18.75" customHeight="1" thickBot="1">
      <c r="A61" s="210"/>
      <c r="B61" s="274" t="s">
        <v>90</v>
      </c>
      <c r="C61" s="188"/>
      <c r="D61" s="190">
        <f>SUM(D55:D60)</f>
        <v>15000000</v>
      </c>
      <c r="E61" s="190">
        <f>SUM(E55:E60)</f>
        <v>3914326</v>
      </c>
      <c r="F61" s="190">
        <f>SUM(F55:F60)</f>
        <v>3800498</v>
      </c>
      <c r="G61" s="190">
        <f>SUM(G55:G60)</f>
        <v>7714824</v>
      </c>
      <c r="H61" s="212">
        <f>SUM(H55:H60)</f>
        <v>-7285176</v>
      </c>
    </row>
    <row r="62" spans="1:8" ht="18.75" customHeight="1">
      <c r="A62" s="311" t="s">
        <v>241</v>
      </c>
      <c r="B62" s="312"/>
      <c r="C62" s="223"/>
      <c r="D62" s="224"/>
      <c r="E62" s="225"/>
      <c r="F62" s="202">
        <f>'[1]ทะเบียนรายรับรวม'!Q62</f>
        <v>0</v>
      </c>
      <c r="G62" s="202">
        <f t="shared" si="2"/>
        <v>0</v>
      </c>
      <c r="H62" s="202">
        <f t="shared" si="0"/>
        <v>0</v>
      </c>
    </row>
    <row r="63" spans="1:8" ht="18.75" customHeight="1">
      <c r="A63" s="311" t="s">
        <v>242</v>
      </c>
      <c r="B63" s="312"/>
      <c r="C63" s="178">
        <v>441000</v>
      </c>
      <c r="D63" s="225">
        <v>0</v>
      </c>
      <c r="E63" s="225"/>
      <c r="F63" s="180">
        <f>'[1]ทะเบียนรายรับรวม'!Q63</f>
        <v>0</v>
      </c>
      <c r="G63" s="180">
        <f t="shared" si="2"/>
        <v>0</v>
      </c>
      <c r="H63" s="180">
        <f t="shared" si="0"/>
        <v>0</v>
      </c>
    </row>
    <row r="64" spans="1:8" ht="18.75" customHeight="1">
      <c r="A64" s="273"/>
      <c r="B64" s="177" t="s">
        <v>243</v>
      </c>
      <c r="C64" s="178"/>
      <c r="D64" s="225">
        <v>0</v>
      </c>
      <c r="E64" s="225">
        <f>'[1]ใบผ่าน3'!X45</f>
        <v>120320</v>
      </c>
      <c r="F64" s="180">
        <f>'[1]ทะเบียนรายรับรวม'!Q64</f>
        <v>180480</v>
      </c>
      <c r="G64" s="180">
        <f t="shared" si="2"/>
        <v>300800</v>
      </c>
      <c r="H64" s="180">
        <f t="shared" si="0"/>
        <v>300800</v>
      </c>
    </row>
    <row r="65" spans="1:8" ht="18.75" customHeight="1">
      <c r="A65" s="273"/>
      <c r="B65" s="177" t="s">
        <v>244</v>
      </c>
      <c r="C65" s="178"/>
      <c r="D65" s="225">
        <v>0</v>
      </c>
      <c r="E65" s="225">
        <f>'[1]ใบผ่าน3'!X46</f>
        <v>57570</v>
      </c>
      <c r="F65" s="180">
        <f>'[1]ทะเบียนรายรับรวม'!Q65</f>
        <v>68400</v>
      </c>
      <c r="G65" s="180">
        <f t="shared" si="2"/>
        <v>125970</v>
      </c>
      <c r="H65" s="180">
        <f t="shared" si="0"/>
        <v>125970</v>
      </c>
    </row>
    <row r="66" spans="1:8" ht="18.75" customHeight="1">
      <c r="A66" s="273"/>
      <c r="B66" s="177" t="s">
        <v>245</v>
      </c>
      <c r="C66" s="178"/>
      <c r="D66" s="225"/>
      <c r="E66" s="225">
        <f>'[1]ใบผ่าน3'!X47</f>
        <v>2280</v>
      </c>
      <c r="F66" s="180">
        <f>'[1]ทะเบียนรายรับรวม'!Q66</f>
        <v>3420</v>
      </c>
      <c r="G66" s="180">
        <f t="shared" si="2"/>
        <v>5700</v>
      </c>
      <c r="H66" s="180">
        <f t="shared" si="0"/>
        <v>5700</v>
      </c>
    </row>
    <row r="67" spans="1:8" ht="18.75" customHeight="1">
      <c r="A67" s="273"/>
      <c r="B67" s="177" t="s">
        <v>246</v>
      </c>
      <c r="C67" s="178"/>
      <c r="D67" s="225"/>
      <c r="E67" s="225">
        <f>'[1]ใบผ่าน3'!X48</f>
        <v>0</v>
      </c>
      <c r="F67" s="180">
        <f>'[1]ทะเบียนรายรับรวม'!Q67</f>
        <v>74900</v>
      </c>
      <c r="G67" s="180">
        <f t="shared" si="2"/>
        <v>74900</v>
      </c>
      <c r="H67" s="180">
        <f t="shared" si="0"/>
        <v>74900</v>
      </c>
    </row>
    <row r="68" spans="1:8" ht="18.75" customHeight="1">
      <c r="A68" s="273"/>
      <c r="B68" s="177" t="s">
        <v>247</v>
      </c>
      <c r="C68" s="178"/>
      <c r="D68" s="225">
        <v>0</v>
      </c>
      <c r="E68" s="225">
        <f>'[1]ใบผ่าน3'!X49</f>
        <v>0</v>
      </c>
      <c r="F68" s="180">
        <f>'[1]ทะเบียนรายรับรวม'!Q68</f>
        <v>1534000</v>
      </c>
      <c r="G68" s="180">
        <f t="shared" si="2"/>
        <v>1534000</v>
      </c>
      <c r="H68" s="180">
        <f t="shared" si="0"/>
        <v>1534000</v>
      </c>
    </row>
    <row r="69" spans="1:8" ht="18.75" customHeight="1" thickBot="1">
      <c r="A69" s="226"/>
      <c r="B69" s="227" t="s">
        <v>248</v>
      </c>
      <c r="C69" s="228"/>
      <c r="D69" s="229">
        <v>0</v>
      </c>
      <c r="E69" s="229">
        <f>'[1]ใบผ่าน3'!X50</f>
        <v>0</v>
      </c>
      <c r="F69" s="180">
        <f>'[1]ทะเบียนรายรับรวม'!Q69</f>
        <v>374400</v>
      </c>
      <c r="G69" s="208">
        <f t="shared" si="2"/>
        <v>374400</v>
      </c>
      <c r="H69" s="208">
        <f t="shared" si="0"/>
        <v>374400</v>
      </c>
    </row>
    <row r="70" spans="1:8" ht="18.75" customHeight="1" thickBot="1">
      <c r="A70" s="313" t="s">
        <v>249</v>
      </c>
      <c r="B70" s="314"/>
      <c r="C70" s="188"/>
      <c r="D70" s="190">
        <f>SUM(D63:D69)</f>
        <v>0</v>
      </c>
      <c r="E70" s="190">
        <f>SUM(E63:E69)</f>
        <v>180170</v>
      </c>
      <c r="F70" s="190">
        <f>SUM(F63:F69)</f>
        <v>2235600</v>
      </c>
      <c r="G70" s="211">
        <f t="shared" si="2"/>
        <v>2415770</v>
      </c>
      <c r="H70" s="230">
        <f t="shared" si="0"/>
        <v>2415770</v>
      </c>
    </row>
    <row r="71" spans="1:8" ht="18.75" customHeight="1" thickBot="1">
      <c r="A71" s="294" t="s">
        <v>44</v>
      </c>
      <c r="B71" s="295"/>
      <c r="C71" s="296"/>
      <c r="D71" s="189">
        <f>D40+D52+D61+D70</f>
        <v>34450000</v>
      </c>
      <c r="E71" s="190">
        <f>E12+E26+E31+E35+E39+E52+E61+E70</f>
        <v>5777960.85</v>
      </c>
      <c r="F71" s="190">
        <f>F12+F26+F31+F35+F39+F52+F61+F70</f>
        <v>11042416.629999999</v>
      </c>
      <c r="G71" s="190">
        <f>G12+G26+G31+G35+G39+G52+G61+G70</f>
        <v>16820377.48</v>
      </c>
      <c r="H71" s="190">
        <f>H12+H26+H31+H35+H39+H52+H61+H70</f>
        <v>-17629622.52</v>
      </c>
    </row>
  </sheetData>
  <sheetProtection/>
  <mergeCells count="22">
    <mergeCell ref="A1:H1"/>
    <mergeCell ref="M1:M4"/>
    <mergeCell ref="A2:H2"/>
    <mergeCell ref="A3:H3"/>
    <mergeCell ref="C4:E4"/>
    <mergeCell ref="A53:B53"/>
    <mergeCell ref="A5:B5"/>
    <mergeCell ref="A7:B7"/>
    <mergeCell ref="A13:B13"/>
    <mergeCell ref="A26:B26"/>
    <mergeCell ref="A27:B27"/>
    <mergeCell ref="A32:B32"/>
    <mergeCell ref="A54:B54"/>
    <mergeCell ref="A62:B62"/>
    <mergeCell ref="A63:B63"/>
    <mergeCell ref="A70:B70"/>
    <mergeCell ref="A71:C71"/>
    <mergeCell ref="A35:B35"/>
    <mergeCell ref="A36:B36"/>
    <mergeCell ref="A40:B40"/>
    <mergeCell ref="A41:B41"/>
    <mergeCell ref="A42:B42"/>
  </mergeCells>
  <printOptions/>
  <pageMargins left="0.11811023622047245" right="0.07874015748031496" top="0.5905511811023623" bottom="0.5118110236220472" header="1.1023622047244095" footer="0.4330708661417323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.00390625" style="2" customWidth="1"/>
    <col min="2" max="2" width="5.28125" style="2" customWidth="1"/>
    <col min="3" max="3" width="30.140625" style="2" customWidth="1"/>
    <col min="4" max="5" width="13.28125" style="2" customWidth="1"/>
    <col min="6" max="6" width="12.28125" style="2" customWidth="1"/>
    <col min="7" max="7" width="16.7109375" style="2" customWidth="1"/>
    <col min="8" max="8" width="9.140625" style="2" customWidth="1"/>
    <col min="9" max="9" width="19.00390625" style="2" bestFit="1" customWidth="1"/>
    <col min="10" max="16384" width="9.140625" style="2" customWidth="1"/>
  </cols>
  <sheetData>
    <row r="1" spans="1:7" ht="22.5" customHeight="1">
      <c r="A1" s="328" t="s">
        <v>0</v>
      </c>
      <c r="B1" s="328"/>
      <c r="C1" s="328"/>
      <c r="D1" s="328"/>
      <c r="E1" s="328"/>
      <c r="F1" s="328"/>
      <c r="G1" s="328"/>
    </row>
    <row r="2" spans="1:7" ht="22.5" customHeight="1">
      <c r="A2" s="328" t="s">
        <v>45</v>
      </c>
      <c r="B2" s="328"/>
      <c r="C2" s="328"/>
      <c r="D2" s="328"/>
      <c r="E2" s="328"/>
      <c r="F2" s="328"/>
      <c r="G2" s="328"/>
    </row>
    <row r="3" spans="1:7" ht="22.5" customHeight="1">
      <c r="A3" s="329" t="s">
        <v>252</v>
      </c>
      <c r="B3" s="329"/>
      <c r="C3" s="329"/>
      <c r="D3" s="329"/>
      <c r="E3" s="329"/>
      <c r="F3" s="329"/>
      <c r="G3" s="329"/>
    </row>
    <row r="4" spans="1:7" ht="18.75">
      <c r="A4" s="239"/>
      <c r="B4" s="239"/>
      <c r="C4" s="239"/>
      <c r="D4" s="239"/>
      <c r="E4" s="240"/>
      <c r="F4" s="241"/>
      <c r="G4" s="241" t="s">
        <v>50</v>
      </c>
    </row>
    <row r="5" spans="1:7" ht="18.75">
      <c r="A5" s="239"/>
      <c r="B5" s="239"/>
      <c r="C5" s="239"/>
      <c r="D5" s="242" t="s">
        <v>7</v>
      </c>
      <c r="E5" s="242" t="s">
        <v>46</v>
      </c>
      <c r="F5" s="242" t="s">
        <v>47</v>
      </c>
      <c r="G5" s="243" t="s">
        <v>48</v>
      </c>
    </row>
    <row r="6" spans="1:7" ht="19.5" thickBot="1">
      <c r="A6" s="330" t="s">
        <v>49</v>
      </c>
      <c r="B6" s="330"/>
      <c r="C6" s="145"/>
      <c r="D6" s="244"/>
      <c r="E6" s="245"/>
      <c r="F6" s="244"/>
      <c r="G6" s="246"/>
    </row>
    <row r="7" spans="1:7" ht="9.75" customHeight="1" thickTop="1">
      <c r="A7" s="247"/>
      <c r="B7" s="247"/>
      <c r="C7" s="247"/>
      <c r="D7" s="248"/>
      <c r="E7" s="249"/>
      <c r="F7" s="250"/>
      <c r="G7" s="251"/>
    </row>
    <row r="8" spans="1:7" ht="18.75">
      <c r="A8" s="252" t="s">
        <v>51</v>
      </c>
      <c r="B8" s="252"/>
      <c r="C8" s="253"/>
      <c r="D8" s="254">
        <v>8774.73</v>
      </c>
      <c r="E8" s="254">
        <v>104.65</v>
      </c>
      <c r="F8" s="254">
        <v>0</v>
      </c>
      <c r="G8" s="255">
        <f>D8+E8-F8</f>
        <v>8879.38</v>
      </c>
    </row>
    <row r="9" spans="1:7" ht="18.75">
      <c r="A9" s="256" t="s">
        <v>52</v>
      </c>
      <c r="B9" s="256"/>
      <c r="C9" s="257"/>
      <c r="D9" s="258">
        <v>216580</v>
      </c>
      <c r="E9" s="259">
        <v>0</v>
      </c>
      <c r="F9" s="259">
        <v>0</v>
      </c>
      <c r="G9" s="255">
        <f aca="true" t="shared" si="0" ref="G9:G22">D9+E9-F9</f>
        <v>216580</v>
      </c>
    </row>
    <row r="10" spans="1:7" ht="18.75">
      <c r="A10" s="256" t="s">
        <v>53</v>
      </c>
      <c r="B10" s="256"/>
      <c r="C10" s="257"/>
      <c r="D10" s="260">
        <v>11728.56</v>
      </c>
      <c r="E10" s="258">
        <v>5292.93</v>
      </c>
      <c r="F10" s="258">
        <v>11728.56</v>
      </c>
      <c r="G10" s="255">
        <f t="shared" si="0"/>
        <v>5292.9299999999985</v>
      </c>
    </row>
    <row r="11" spans="1:7" ht="18.75">
      <c r="A11" s="333" t="s">
        <v>63</v>
      </c>
      <c r="B11" s="333"/>
      <c r="C11" s="334"/>
      <c r="D11" s="259">
        <v>0</v>
      </c>
      <c r="E11" s="259">
        <v>0</v>
      </c>
      <c r="F11" s="258">
        <v>0</v>
      </c>
      <c r="G11" s="255">
        <f t="shared" si="0"/>
        <v>0</v>
      </c>
    </row>
    <row r="12" spans="1:7" ht="18.75">
      <c r="A12" s="333" t="s">
        <v>64</v>
      </c>
      <c r="B12" s="333"/>
      <c r="C12" s="334"/>
      <c r="D12" s="259">
        <v>0</v>
      </c>
      <c r="E12" s="258">
        <v>0</v>
      </c>
      <c r="F12" s="258">
        <v>0</v>
      </c>
      <c r="G12" s="255">
        <f t="shared" si="0"/>
        <v>0</v>
      </c>
    </row>
    <row r="13" spans="1:7" ht="38.25" customHeight="1">
      <c r="A13" s="326" t="s">
        <v>111</v>
      </c>
      <c r="B13" s="326"/>
      <c r="C13" s="327"/>
      <c r="D13" s="259">
        <v>0</v>
      </c>
      <c r="E13" s="258">
        <v>0</v>
      </c>
      <c r="F13" s="258">
        <v>0</v>
      </c>
      <c r="G13" s="255">
        <f t="shared" si="0"/>
        <v>0</v>
      </c>
    </row>
    <row r="14" spans="1:7" ht="36.75" customHeight="1">
      <c r="A14" s="326" t="s">
        <v>112</v>
      </c>
      <c r="B14" s="326"/>
      <c r="C14" s="327"/>
      <c r="D14" s="259">
        <v>0</v>
      </c>
      <c r="E14" s="261">
        <v>0</v>
      </c>
      <c r="F14" s="261">
        <v>0</v>
      </c>
      <c r="G14" s="255">
        <f t="shared" si="0"/>
        <v>0</v>
      </c>
    </row>
    <row r="15" spans="1:7" ht="37.5" customHeight="1">
      <c r="A15" s="326" t="s">
        <v>113</v>
      </c>
      <c r="B15" s="326"/>
      <c r="C15" s="327"/>
      <c r="D15" s="259">
        <v>0</v>
      </c>
      <c r="E15" s="261">
        <v>0</v>
      </c>
      <c r="F15" s="261">
        <v>0</v>
      </c>
      <c r="G15" s="255">
        <f t="shared" si="0"/>
        <v>0</v>
      </c>
    </row>
    <row r="16" spans="1:7" ht="39.75" customHeight="1">
      <c r="A16" s="326" t="s">
        <v>114</v>
      </c>
      <c r="B16" s="326"/>
      <c r="C16" s="327"/>
      <c r="D16" s="259">
        <v>0</v>
      </c>
      <c r="E16" s="261">
        <v>0</v>
      </c>
      <c r="F16" s="261">
        <v>0</v>
      </c>
      <c r="G16" s="255">
        <f t="shared" si="0"/>
        <v>0</v>
      </c>
    </row>
    <row r="17" spans="1:7" ht="18.75">
      <c r="A17" s="333" t="s">
        <v>94</v>
      </c>
      <c r="B17" s="333"/>
      <c r="C17" s="334"/>
      <c r="D17" s="261">
        <v>1140</v>
      </c>
      <c r="E17" s="261">
        <v>1140</v>
      </c>
      <c r="F17" s="261">
        <v>1140</v>
      </c>
      <c r="G17" s="255">
        <f t="shared" si="0"/>
        <v>1140</v>
      </c>
    </row>
    <row r="18" spans="1:7" ht="36" customHeight="1">
      <c r="A18" s="326" t="s">
        <v>115</v>
      </c>
      <c r="B18" s="326"/>
      <c r="C18" s="327"/>
      <c r="D18" s="261">
        <v>0</v>
      </c>
      <c r="E18" s="261">
        <v>0</v>
      </c>
      <c r="F18" s="261">
        <v>0</v>
      </c>
      <c r="G18" s="255">
        <f t="shared" si="0"/>
        <v>0</v>
      </c>
    </row>
    <row r="19" spans="1:7" ht="18.75">
      <c r="A19" s="333" t="s">
        <v>95</v>
      </c>
      <c r="B19" s="333"/>
      <c r="C19" s="334"/>
      <c r="D19" s="259">
        <v>0</v>
      </c>
      <c r="E19" s="261">
        <v>0</v>
      </c>
      <c r="F19" s="261">
        <v>0</v>
      </c>
      <c r="G19" s="255">
        <f t="shared" si="0"/>
        <v>0</v>
      </c>
    </row>
    <row r="20" spans="1:7" ht="37.5" customHeight="1">
      <c r="A20" s="326" t="s">
        <v>116</v>
      </c>
      <c r="B20" s="326"/>
      <c r="C20" s="327"/>
      <c r="D20" s="262">
        <v>11374.65</v>
      </c>
      <c r="E20" s="261">
        <v>44573.53</v>
      </c>
      <c r="F20" s="261">
        <v>0</v>
      </c>
      <c r="G20" s="255">
        <f t="shared" si="0"/>
        <v>55948.18</v>
      </c>
    </row>
    <row r="21" spans="1:7" ht="18.75">
      <c r="A21" s="326" t="s">
        <v>149</v>
      </c>
      <c r="B21" s="326"/>
      <c r="C21" s="327"/>
      <c r="D21" s="262">
        <v>60300</v>
      </c>
      <c r="E21" s="261">
        <v>24622.5</v>
      </c>
      <c r="F21" s="261">
        <v>0</v>
      </c>
      <c r="G21" s="255">
        <f t="shared" si="0"/>
        <v>84922.5</v>
      </c>
    </row>
    <row r="22" spans="1:7" ht="18.75">
      <c r="A22" s="326" t="s">
        <v>253</v>
      </c>
      <c r="B22" s="326"/>
      <c r="C22" s="327"/>
      <c r="D22" s="262">
        <v>0</v>
      </c>
      <c r="E22" s="261">
        <v>169564</v>
      </c>
      <c r="F22" s="261">
        <v>169564</v>
      </c>
      <c r="G22" s="255">
        <f t="shared" si="0"/>
        <v>0</v>
      </c>
    </row>
    <row r="23" spans="1:9" ht="18.75">
      <c r="A23" s="263" t="s">
        <v>67</v>
      </c>
      <c r="B23" s="263"/>
      <c r="C23" s="264"/>
      <c r="D23" s="265">
        <v>0</v>
      </c>
      <c r="E23" s="261">
        <v>0</v>
      </c>
      <c r="F23" s="261">
        <v>0</v>
      </c>
      <c r="G23" s="255">
        <f>D23+E23-F23</f>
        <v>0</v>
      </c>
      <c r="I23" s="266"/>
    </row>
    <row r="24" spans="1:9" ht="19.5" thickBot="1">
      <c r="A24" s="331" t="s">
        <v>38</v>
      </c>
      <c r="B24" s="331"/>
      <c r="C24" s="332"/>
      <c r="D24" s="267">
        <f>SUM(D8:D23)</f>
        <v>309897.94</v>
      </c>
      <c r="E24" s="268">
        <f>SUM(E8:E23)</f>
        <v>245297.61</v>
      </c>
      <c r="F24" s="268">
        <f>SUM(F8:F23)</f>
        <v>182432.56</v>
      </c>
      <c r="G24" s="269">
        <f>SUM(D24+E24-F24)</f>
        <v>372762.99000000005</v>
      </c>
      <c r="I24" s="270"/>
    </row>
    <row r="25" spans="1:7" ht="19.5" thickTop="1">
      <c r="A25" s="271"/>
      <c r="B25" s="271"/>
      <c r="C25" s="147"/>
      <c r="D25" s="24"/>
      <c r="E25" s="150"/>
      <c r="F25" s="147"/>
      <c r="G25" s="23"/>
    </row>
    <row r="26" spans="1:7" ht="18.75">
      <c r="A26" s="23"/>
      <c r="B26" s="23"/>
      <c r="C26" s="23"/>
      <c r="D26" s="23"/>
      <c r="E26" s="23"/>
      <c r="F26" s="23"/>
      <c r="G26" s="41"/>
    </row>
    <row r="27" spans="1:7" ht="18.75">
      <c r="A27" s="23"/>
      <c r="B27" s="23"/>
      <c r="C27" s="23"/>
      <c r="D27" s="23"/>
      <c r="E27" s="23"/>
      <c r="F27" s="23"/>
      <c r="G27" s="41"/>
    </row>
    <row r="28" spans="1:7" ht="18.75">
      <c r="A28" s="23"/>
      <c r="B28" s="23"/>
      <c r="C28" s="23"/>
      <c r="D28" s="23"/>
      <c r="E28" s="23"/>
      <c r="F28" s="23"/>
      <c r="G28" s="43"/>
    </row>
    <row r="29" spans="1:7" ht="18.75">
      <c r="A29" s="23"/>
      <c r="B29" s="23"/>
      <c r="C29" s="23"/>
      <c r="D29" s="23"/>
      <c r="E29" s="23"/>
      <c r="F29" s="23"/>
      <c r="G29" s="23"/>
    </row>
    <row r="30" spans="1:7" ht="18.75">
      <c r="A30" s="23"/>
      <c r="B30" s="23"/>
      <c r="C30" s="23"/>
      <c r="D30" s="23"/>
      <c r="E30" s="23"/>
      <c r="F30" s="23"/>
      <c r="G30" s="23"/>
    </row>
  </sheetData>
  <sheetProtection/>
  <mergeCells count="17">
    <mergeCell ref="A24:C24"/>
    <mergeCell ref="A12:C12"/>
    <mergeCell ref="A13:C13"/>
    <mergeCell ref="A14:C14"/>
    <mergeCell ref="A11:C11"/>
    <mergeCell ref="A17:C17"/>
    <mergeCell ref="A15:C15"/>
    <mergeCell ref="A18:C18"/>
    <mergeCell ref="A20:C20"/>
    <mergeCell ref="A19:C19"/>
    <mergeCell ref="A22:C22"/>
    <mergeCell ref="A1:G1"/>
    <mergeCell ref="A2:G2"/>
    <mergeCell ref="A3:G3"/>
    <mergeCell ref="A6:B6"/>
    <mergeCell ref="A16:C16"/>
    <mergeCell ref="A21:C21"/>
  </mergeCells>
  <printOptions/>
  <pageMargins left="0.4330708661417323" right="0.4330708661417323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7">
      <selection activeCell="F8" sqref="F8"/>
    </sheetView>
  </sheetViews>
  <sheetFormatPr defaultColWidth="9.140625" defaultRowHeight="12.75"/>
  <cols>
    <col min="1" max="1" width="15.421875" style="2" customWidth="1"/>
    <col min="2" max="2" width="9.140625" style="2" customWidth="1"/>
    <col min="3" max="3" width="11.421875" style="2" customWidth="1"/>
    <col min="4" max="4" width="10.7109375" style="2" customWidth="1"/>
    <col min="5" max="5" width="9.57421875" style="2" customWidth="1"/>
    <col min="6" max="7" width="16.28125" style="2" customWidth="1"/>
    <col min="8" max="8" width="5.28125" style="2" customWidth="1"/>
    <col min="9" max="9" width="16.8515625" style="2" customWidth="1"/>
    <col min="10" max="16384" width="9.140625" style="2" customWidth="1"/>
  </cols>
  <sheetData>
    <row r="1" spans="1:10" ht="19.5" customHeight="1">
      <c r="A1" s="282" t="s">
        <v>0</v>
      </c>
      <c r="B1" s="282"/>
      <c r="C1" s="282"/>
      <c r="D1" s="282"/>
      <c r="E1" s="282"/>
      <c r="F1" s="282"/>
      <c r="G1" s="282"/>
      <c r="H1" s="108"/>
      <c r="I1" s="108"/>
      <c r="J1" s="108"/>
    </row>
    <row r="2" spans="1:10" ht="19.5" customHeight="1">
      <c r="A2" s="282" t="s">
        <v>157</v>
      </c>
      <c r="B2" s="282"/>
      <c r="C2" s="282"/>
      <c r="D2" s="282"/>
      <c r="E2" s="282"/>
      <c r="F2" s="282"/>
      <c r="G2" s="282"/>
      <c r="H2" s="108"/>
      <c r="I2" s="108"/>
      <c r="J2" s="108"/>
    </row>
    <row r="3" spans="1:10" ht="19.5" customHeight="1">
      <c r="A3" s="284" t="s">
        <v>254</v>
      </c>
      <c r="B3" s="284"/>
      <c r="C3" s="284"/>
      <c r="D3" s="284"/>
      <c r="E3" s="284"/>
      <c r="F3" s="284"/>
      <c r="G3" s="284"/>
      <c r="H3" s="109"/>
      <c r="I3" s="109"/>
      <c r="J3" s="109"/>
    </row>
    <row r="4" spans="1:10" ht="19.5" customHeight="1">
      <c r="A4" s="336" t="s">
        <v>2</v>
      </c>
      <c r="B4" s="337"/>
      <c r="C4" s="337"/>
      <c r="D4" s="338"/>
      <c r="E4" s="98" t="s">
        <v>3</v>
      </c>
      <c r="F4" s="110" t="s">
        <v>158</v>
      </c>
      <c r="G4" s="98" t="s">
        <v>159</v>
      </c>
      <c r="H4" s="339"/>
      <c r="I4" s="339"/>
      <c r="J4" s="339"/>
    </row>
    <row r="5" spans="1:10" ht="19.5" customHeight="1">
      <c r="A5" s="111" t="s">
        <v>35</v>
      </c>
      <c r="B5" s="340"/>
      <c r="C5" s="340"/>
      <c r="D5" s="112"/>
      <c r="E5" s="62" t="s">
        <v>160</v>
      </c>
      <c r="F5" s="80">
        <v>0</v>
      </c>
      <c r="G5" s="113"/>
      <c r="H5" s="114"/>
      <c r="I5" s="114"/>
      <c r="J5" s="114"/>
    </row>
    <row r="6" spans="1:10" ht="19.5" customHeight="1">
      <c r="A6" s="111" t="s">
        <v>58</v>
      </c>
      <c r="B6" s="112"/>
      <c r="C6" s="112"/>
      <c r="D6" s="112"/>
      <c r="E6" s="62"/>
      <c r="F6" s="115">
        <v>0</v>
      </c>
      <c r="G6" s="113"/>
      <c r="H6" s="114"/>
      <c r="I6" s="114"/>
      <c r="J6" s="114"/>
    </row>
    <row r="7" spans="1:10" ht="19.5" customHeight="1">
      <c r="A7" s="111" t="s">
        <v>161</v>
      </c>
      <c r="B7" s="112" t="s">
        <v>162</v>
      </c>
      <c r="C7" s="112"/>
      <c r="D7" s="112" t="s">
        <v>163</v>
      </c>
      <c r="E7" s="116">
        <v>111201</v>
      </c>
      <c r="F7" s="115">
        <v>66863986.36</v>
      </c>
      <c r="G7" s="113"/>
      <c r="H7" s="114"/>
      <c r="I7" s="114"/>
      <c r="J7" s="114"/>
    </row>
    <row r="8" spans="1:10" ht="19.5" customHeight="1">
      <c r="A8" s="111"/>
      <c r="B8" s="112" t="s">
        <v>162</v>
      </c>
      <c r="C8" s="112"/>
      <c r="D8" s="112" t="s">
        <v>164</v>
      </c>
      <c r="E8" s="116">
        <v>111201</v>
      </c>
      <c r="F8" s="117">
        <v>11833948.18</v>
      </c>
      <c r="G8" s="62"/>
      <c r="H8" s="114"/>
      <c r="I8" s="118"/>
      <c r="J8" s="114"/>
    </row>
    <row r="9" spans="1:10" ht="19.5" customHeight="1">
      <c r="A9" s="119"/>
      <c r="B9" s="112" t="s">
        <v>165</v>
      </c>
      <c r="C9" s="112"/>
      <c r="D9" s="112" t="s">
        <v>166</v>
      </c>
      <c r="E9" s="116">
        <v>111202</v>
      </c>
      <c r="F9" s="117">
        <v>1671174.72</v>
      </c>
      <c r="G9" s="62"/>
      <c r="H9" s="114"/>
      <c r="I9" s="118"/>
      <c r="J9" s="114"/>
    </row>
    <row r="10" spans="1:10" ht="19.5" customHeight="1">
      <c r="A10" s="119"/>
      <c r="B10" s="112" t="s">
        <v>167</v>
      </c>
      <c r="C10" s="120"/>
      <c r="D10" s="112" t="s">
        <v>168</v>
      </c>
      <c r="E10" s="116">
        <v>111203</v>
      </c>
      <c r="F10" s="115">
        <v>0</v>
      </c>
      <c r="G10" s="62"/>
      <c r="H10" s="114"/>
      <c r="I10" s="118"/>
      <c r="J10" s="114"/>
    </row>
    <row r="11" spans="1:10" ht="19.5" customHeight="1">
      <c r="A11" s="111" t="s">
        <v>169</v>
      </c>
      <c r="B11" s="112"/>
      <c r="C11" s="112"/>
      <c r="D11" s="112"/>
      <c r="E11" s="116">
        <v>111201</v>
      </c>
      <c r="F11" s="121">
        <v>449.09</v>
      </c>
      <c r="G11" s="62"/>
      <c r="H11" s="122"/>
      <c r="I11" s="118"/>
      <c r="J11" s="114"/>
    </row>
    <row r="12" spans="1:10" ht="19.5" customHeight="1">
      <c r="A12" s="111" t="s">
        <v>55</v>
      </c>
      <c r="B12" s="112"/>
      <c r="C12" s="112"/>
      <c r="D12" s="112"/>
      <c r="E12" s="107">
        <v>112002</v>
      </c>
      <c r="F12" s="117">
        <v>6899572.66</v>
      </c>
      <c r="G12" s="62"/>
      <c r="H12" s="114"/>
      <c r="I12" s="123"/>
      <c r="J12" s="114"/>
    </row>
    <row r="13" spans="1:10" ht="19.5" customHeight="1">
      <c r="A13" s="234" t="s">
        <v>170</v>
      </c>
      <c r="B13" s="235"/>
      <c r="C13" s="235"/>
      <c r="D13" s="235"/>
      <c r="E13" s="236" t="s">
        <v>171</v>
      </c>
      <c r="F13" s="237">
        <v>4800</v>
      </c>
      <c r="G13" s="62"/>
      <c r="H13" s="114"/>
      <c r="I13" s="114"/>
      <c r="J13" s="114"/>
    </row>
    <row r="14" spans="1:10" ht="19.5" customHeight="1">
      <c r="A14" s="111" t="s">
        <v>103</v>
      </c>
      <c r="B14" s="112"/>
      <c r="C14" s="112"/>
      <c r="D14" s="112"/>
      <c r="E14" s="107">
        <v>113200</v>
      </c>
      <c r="F14" s="117">
        <v>0</v>
      </c>
      <c r="G14" s="62"/>
      <c r="H14" s="114"/>
      <c r="I14" s="114"/>
      <c r="J14" s="114"/>
    </row>
    <row r="15" spans="1:10" ht="19.5" customHeight="1">
      <c r="A15" s="111" t="s">
        <v>172</v>
      </c>
      <c r="B15" s="112"/>
      <c r="C15" s="112"/>
      <c r="D15" s="112"/>
      <c r="E15" s="62" t="s">
        <v>144</v>
      </c>
      <c r="F15" s="115">
        <v>10223</v>
      </c>
      <c r="G15" s="62"/>
      <c r="H15" s="114"/>
      <c r="I15" s="114"/>
      <c r="J15" s="114"/>
    </row>
    <row r="16" spans="1:10" ht="19.5" customHeight="1">
      <c r="A16" s="111" t="s">
        <v>173</v>
      </c>
      <c r="B16" s="112"/>
      <c r="C16" s="112"/>
      <c r="D16" s="112"/>
      <c r="E16" s="62" t="s">
        <v>145</v>
      </c>
      <c r="F16" s="115">
        <v>286.9</v>
      </c>
      <c r="G16" s="62"/>
      <c r="H16" s="114"/>
      <c r="I16" s="114"/>
      <c r="J16" s="114"/>
    </row>
    <row r="17" spans="1:10" ht="19.5" customHeight="1">
      <c r="A17" s="111" t="s">
        <v>174</v>
      </c>
      <c r="B17" s="112"/>
      <c r="C17" s="112"/>
      <c r="D17" s="112"/>
      <c r="E17" s="62" t="s">
        <v>146</v>
      </c>
      <c r="F17" s="117">
        <v>0</v>
      </c>
      <c r="G17" s="62"/>
      <c r="H17" s="114"/>
      <c r="I17" s="114"/>
      <c r="J17" s="114"/>
    </row>
    <row r="18" spans="1:10" ht="19.5" customHeight="1">
      <c r="A18" s="111" t="s">
        <v>175</v>
      </c>
      <c r="B18" s="112"/>
      <c r="C18" s="112"/>
      <c r="D18" s="112"/>
      <c r="E18" s="107">
        <v>121000</v>
      </c>
      <c r="F18" s="117">
        <v>18381953</v>
      </c>
      <c r="G18" s="62"/>
      <c r="H18" s="114"/>
      <c r="I18" s="114"/>
      <c r="J18" s="114"/>
    </row>
    <row r="19" spans="1:10" ht="19.5" customHeight="1">
      <c r="A19" s="111" t="s">
        <v>83</v>
      </c>
      <c r="B19" s="112"/>
      <c r="C19" s="112"/>
      <c r="D19" s="112"/>
      <c r="E19" s="107"/>
      <c r="F19" s="117">
        <v>1998149.5</v>
      </c>
      <c r="G19" s="62"/>
      <c r="H19" s="114"/>
      <c r="I19" s="114"/>
      <c r="J19" s="114"/>
    </row>
    <row r="20" spans="1:10" ht="19.5" customHeight="1">
      <c r="A20" s="111" t="s">
        <v>176</v>
      </c>
      <c r="B20" s="112"/>
      <c r="C20" s="112"/>
      <c r="D20" s="112"/>
      <c r="E20" s="116">
        <v>521000</v>
      </c>
      <c r="F20" s="115">
        <v>874880</v>
      </c>
      <c r="G20" s="62"/>
      <c r="H20" s="114"/>
      <c r="I20" s="114"/>
      <c r="J20" s="114"/>
    </row>
    <row r="21" spans="1:10" ht="19.5" customHeight="1">
      <c r="A21" s="111" t="s">
        <v>177</v>
      </c>
      <c r="B21" s="112"/>
      <c r="C21" s="112"/>
      <c r="D21" s="112"/>
      <c r="E21" s="116">
        <v>522000</v>
      </c>
      <c r="F21" s="115">
        <v>3069838.75</v>
      </c>
      <c r="G21" s="62"/>
      <c r="H21" s="114"/>
      <c r="I21" s="114"/>
      <c r="J21" s="114"/>
    </row>
    <row r="22" spans="1:10" ht="19.5" customHeight="1">
      <c r="A22" s="111" t="s">
        <v>178</v>
      </c>
      <c r="B22" s="112"/>
      <c r="C22" s="112"/>
      <c r="D22" s="112"/>
      <c r="E22" s="116">
        <v>531000</v>
      </c>
      <c r="F22" s="115">
        <v>81047</v>
      </c>
      <c r="G22" s="62"/>
      <c r="H22" s="114"/>
      <c r="I22" s="114"/>
      <c r="J22" s="114"/>
    </row>
    <row r="23" spans="1:10" ht="19.5" customHeight="1">
      <c r="A23" s="234" t="s">
        <v>96</v>
      </c>
      <c r="B23" s="235"/>
      <c r="C23" s="235"/>
      <c r="D23" s="235"/>
      <c r="E23" s="238">
        <v>532000</v>
      </c>
      <c r="F23" s="237">
        <v>518627.55</v>
      </c>
      <c r="G23" s="62"/>
      <c r="H23" s="124"/>
      <c r="I23" s="124"/>
      <c r="J23" s="125"/>
    </row>
    <row r="24" spans="1:10" ht="19.5" customHeight="1">
      <c r="A24" s="111" t="s">
        <v>179</v>
      </c>
      <c r="B24" s="112"/>
      <c r="C24" s="112"/>
      <c r="D24" s="112"/>
      <c r="E24" s="116">
        <v>533000</v>
      </c>
      <c r="F24" s="115">
        <v>255127</v>
      </c>
      <c r="G24" s="62"/>
      <c r="H24" s="124"/>
      <c r="I24" s="124"/>
      <c r="J24" s="125"/>
    </row>
    <row r="25" spans="1:10" ht="19.5" customHeight="1">
      <c r="A25" s="111" t="s">
        <v>180</v>
      </c>
      <c r="B25" s="112"/>
      <c r="C25" s="112"/>
      <c r="D25" s="112"/>
      <c r="E25" s="116">
        <v>534000</v>
      </c>
      <c r="F25" s="115">
        <v>264269.05</v>
      </c>
      <c r="G25" s="62"/>
      <c r="H25" s="124"/>
      <c r="I25" s="124"/>
      <c r="J25" s="126"/>
    </row>
    <row r="26" spans="1:10" ht="19.5" customHeight="1">
      <c r="A26" s="111" t="s">
        <v>181</v>
      </c>
      <c r="B26" s="112"/>
      <c r="C26" s="112"/>
      <c r="D26" s="112"/>
      <c r="E26" s="116">
        <v>541000</v>
      </c>
      <c r="F26" s="115">
        <v>7780</v>
      </c>
      <c r="G26" s="62"/>
      <c r="H26" s="127"/>
      <c r="I26" s="114"/>
      <c r="J26" s="126"/>
    </row>
    <row r="27" spans="1:10" ht="19.5" customHeight="1">
      <c r="A27" s="111" t="s">
        <v>182</v>
      </c>
      <c r="B27" s="112"/>
      <c r="C27" s="112"/>
      <c r="D27" s="112"/>
      <c r="E27" s="107">
        <v>542000</v>
      </c>
      <c r="F27" s="115">
        <v>0</v>
      </c>
      <c r="G27" s="62"/>
      <c r="H27" s="124"/>
      <c r="I27" s="124"/>
      <c r="J27" s="126"/>
    </row>
    <row r="28" spans="1:10" ht="19.5" customHeight="1">
      <c r="A28" s="111" t="s">
        <v>183</v>
      </c>
      <c r="B28" s="112"/>
      <c r="C28" s="112"/>
      <c r="D28" s="112"/>
      <c r="E28" s="107">
        <v>551000</v>
      </c>
      <c r="F28" s="115">
        <v>0</v>
      </c>
      <c r="G28" s="62"/>
      <c r="H28" s="124"/>
      <c r="I28" s="124"/>
      <c r="J28" s="125"/>
    </row>
    <row r="29" spans="1:10" ht="19.5" customHeight="1">
      <c r="A29" s="111" t="s">
        <v>66</v>
      </c>
      <c r="B29" s="112"/>
      <c r="C29" s="112"/>
      <c r="D29" s="112"/>
      <c r="E29" s="107">
        <v>561000</v>
      </c>
      <c r="F29" s="115">
        <v>546000</v>
      </c>
      <c r="G29" s="62"/>
      <c r="H29" s="124"/>
      <c r="I29" s="124"/>
      <c r="J29" s="125"/>
    </row>
    <row r="30" spans="1:10" ht="19.5" customHeight="1">
      <c r="A30" s="111"/>
      <c r="B30" s="112"/>
      <c r="C30" s="112"/>
      <c r="D30" s="112"/>
      <c r="E30" s="107"/>
      <c r="F30" s="115"/>
      <c r="G30" s="62"/>
      <c r="H30" s="124"/>
      <c r="I30" s="124"/>
      <c r="J30" s="126"/>
    </row>
    <row r="31" spans="1:10" ht="19.5" customHeight="1">
      <c r="A31" s="111" t="s">
        <v>67</v>
      </c>
      <c r="B31" s="112"/>
      <c r="C31" s="112"/>
      <c r="D31" s="112"/>
      <c r="E31" s="116">
        <v>190002</v>
      </c>
      <c r="F31" s="128"/>
      <c r="G31" s="80">
        <v>0</v>
      </c>
      <c r="H31" s="124"/>
      <c r="I31" s="124"/>
      <c r="J31" s="126"/>
    </row>
    <row r="32" spans="1:10" ht="19.5" customHeight="1">
      <c r="A32" s="111" t="s">
        <v>184</v>
      </c>
      <c r="B32" s="112"/>
      <c r="C32" s="112"/>
      <c r="D32" s="112"/>
      <c r="E32" s="116">
        <v>190003</v>
      </c>
      <c r="F32" s="129"/>
      <c r="G32" s="80">
        <v>0</v>
      </c>
      <c r="H32" s="124"/>
      <c r="I32" s="124"/>
      <c r="J32" s="126"/>
    </row>
    <row r="33" spans="1:10" ht="19.5" customHeight="1">
      <c r="A33" s="111" t="s">
        <v>41</v>
      </c>
      <c r="B33" s="112"/>
      <c r="C33" s="112"/>
      <c r="D33" s="112"/>
      <c r="E33" s="116">
        <v>211000</v>
      </c>
      <c r="F33" s="130"/>
      <c r="G33" s="66">
        <v>15897864.26</v>
      </c>
      <c r="H33" s="131"/>
      <c r="I33" s="131"/>
      <c r="J33" s="132"/>
    </row>
    <row r="34" spans="1:10" ht="19.5" customHeight="1">
      <c r="A34" s="111" t="s">
        <v>185</v>
      </c>
      <c r="B34" s="112"/>
      <c r="C34" s="112"/>
      <c r="D34" s="112"/>
      <c r="E34" s="116">
        <v>215000</v>
      </c>
      <c r="F34" s="128"/>
      <c r="G34" s="66">
        <v>372762.99</v>
      </c>
      <c r="H34" s="124"/>
      <c r="I34" s="124"/>
      <c r="J34" s="125"/>
    </row>
    <row r="35" spans="1:10" ht="19.5" customHeight="1">
      <c r="A35" s="111" t="s">
        <v>82</v>
      </c>
      <c r="B35" s="112"/>
      <c r="C35" s="112"/>
      <c r="D35" s="112"/>
      <c r="E35" s="116">
        <v>221202</v>
      </c>
      <c r="F35" s="129"/>
      <c r="G35" s="80">
        <v>9712679.67</v>
      </c>
      <c r="H35" s="124"/>
      <c r="I35" s="124"/>
      <c r="J35" s="125"/>
    </row>
    <row r="36" spans="1:10" ht="19.5" customHeight="1">
      <c r="A36" s="133" t="s">
        <v>37</v>
      </c>
      <c r="B36" s="134"/>
      <c r="C36" s="134"/>
      <c r="D36" s="112"/>
      <c r="E36" s="107">
        <v>310000</v>
      </c>
      <c r="F36" s="130"/>
      <c r="G36" s="66">
        <v>52085925.6</v>
      </c>
      <c r="H36" s="124"/>
      <c r="I36" s="124"/>
      <c r="J36" s="125"/>
    </row>
    <row r="37" spans="1:10" ht="19.5" customHeight="1">
      <c r="A37" s="111" t="s">
        <v>186</v>
      </c>
      <c r="B37" s="112"/>
      <c r="C37" s="112"/>
      <c r="D37" s="112"/>
      <c r="E37" s="107">
        <v>320000</v>
      </c>
      <c r="F37" s="129"/>
      <c r="G37" s="66">
        <v>17164502.76</v>
      </c>
      <c r="H37" s="124"/>
      <c r="I37" s="124"/>
      <c r="J37" s="125"/>
    </row>
    <row r="38" spans="1:10" ht="19.5" customHeight="1">
      <c r="A38" s="111" t="s">
        <v>187</v>
      </c>
      <c r="B38" s="112"/>
      <c r="C38" s="112"/>
      <c r="D38" s="112"/>
      <c r="E38" s="116">
        <v>400000</v>
      </c>
      <c r="F38" s="128"/>
      <c r="G38" s="66">
        <v>16820377.48</v>
      </c>
      <c r="H38" s="124"/>
      <c r="I38" s="124"/>
      <c r="J38" s="125"/>
    </row>
    <row r="39" spans="1:10" ht="19.5" customHeight="1">
      <c r="A39" s="111" t="s">
        <v>102</v>
      </c>
      <c r="B39" s="112"/>
      <c r="C39" s="112"/>
      <c r="D39" s="112"/>
      <c r="E39" s="135"/>
      <c r="F39" s="129"/>
      <c r="G39" s="80">
        <v>1228000</v>
      </c>
      <c r="H39" s="131"/>
      <c r="I39" s="131"/>
      <c r="J39" s="132"/>
    </row>
    <row r="40" spans="1:10" ht="19.5" customHeight="1">
      <c r="A40" s="136"/>
      <c r="B40" s="24"/>
      <c r="C40" s="24"/>
      <c r="D40" s="24"/>
      <c r="E40" s="137"/>
      <c r="F40" s="138"/>
      <c r="G40" s="139"/>
      <c r="H40" s="124"/>
      <c r="I40" s="124"/>
      <c r="J40" s="126"/>
    </row>
    <row r="41" spans="1:9" ht="19.5" customHeight="1" thickBot="1">
      <c r="A41" s="140"/>
      <c r="B41" s="141"/>
      <c r="C41" s="141"/>
      <c r="D41" s="141"/>
      <c r="E41" s="142"/>
      <c r="F41" s="143">
        <f>SUM(F5:F29)</f>
        <v>113282112.75999999</v>
      </c>
      <c r="G41" s="143">
        <f>SUM(G33:G40)</f>
        <v>113282112.76000002</v>
      </c>
      <c r="I41" s="144"/>
    </row>
    <row r="42" spans="1:7" ht="18" customHeight="1" thickTop="1">
      <c r="A42" s="145"/>
      <c r="B42" s="145"/>
      <c r="C42" s="145"/>
      <c r="D42" s="145"/>
      <c r="E42" s="145"/>
      <c r="F42" s="145"/>
      <c r="G42" s="146">
        <f>G41-F41</f>
        <v>0</v>
      </c>
    </row>
    <row r="43" spans="1:7" ht="16.5" customHeight="1">
      <c r="A43" s="335"/>
      <c r="B43" s="335"/>
      <c r="C43" s="335"/>
      <c r="D43" s="335"/>
      <c r="E43" s="335"/>
      <c r="F43" s="335"/>
      <c r="G43" s="335"/>
    </row>
    <row r="44" spans="1:7" ht="18" customHeight="1">
      <c r="A44" s="335"/>
      <c r="B44" s="335"/>
      <c r="C44" s="335"/>
      <c r="D44" s="335"/>
      <c r="E44" s="335"/>
      <c r="F44" s="335"/>
      <c r="G44" s="335"/>
    </row>
    <row r="45" spans="1:7" ht="18" customHeight="1">
      <c r="A45" s="335"/>
      <c r="B45" s="335"/>
      <c r="C45" s="335"/>
      <c r="D45" s="335"/>
      <c r="E45" s="335"/>
      <c r="F45" s="335"/>
      <c r="G45" s="335"/>
    </row>
    <row r="46" spans="1:7" ht="18" customHeight="1">
      <c r="A46" s="335"/>
      <c r="B46" s="335"/>
      <c r="C46" s="335"/>
      <c r="D46" s="335"/>
      <c r="E46" s="147"/>
      <c r="F46" s="147"/>
      <c r="G46" s="147"/>
    </row>
    <row r="47" spans="1:7" ht="18" customHeight="1">
      <c r="A47" s="24"/>
      <c r="B47" s="335"/>
      <c r="C47" s="335"/>
      <c r="D47" s="24"/>
      <c r="E47" s="148"/>
      <c r="F47" s="149"/>
      <c r="G47" s="105"/>
    </row>
    <row r="48" spans="1:7" ht="18" customHeight="1">
      <c r="A48" s="24"/>
      <c r="B48" s="24"/>
      <c r="C48" s="24"/>
      <c r="D48" s="24"/>
      <c r="E48" s="150"/>
      <c r="F48" s="149"/>
      <c r="G48" s="105"/>
    </row>
    <row r="49" spans="1:7" ht="18" customHeight="1">
      <c r="A49" s="24"/>
      <c r="B49" s="24"/>
      <c r="C49" s="105"/>
      <c r="D49" s="24"/>
      <c r="E49" s="148"/>
      <c r="F49" s="149"/>
      <c r="G49" s="105"/>
    </row>
    <row r="50" spans="1:7" ht="18" customHeight="1">
      <c r="A50" s="24"/>
      <c r="B50" s="24"/>
      <c r="C50" s="24"/>
      <c r="D50" s="24"/>
      <c r="E50" s="148"/>
      <c r="F50" s="149"/>
      <c r="G50" s="150"/>
    </row>
    <row r="51" spans="1:7" ht="18" customHeight="1">
      <c r="A51" s="151"/>
      <c r="B51" s="24"/>
      <c r="C51" s="24"/>
      <c r="D51" s="24"/>
      <c r="E51" s="148"/>
      <c r="F51" s="152"/>
      <c r="G51" s="150"/>
    </row>
    <row r="52" spans="1:7" ht="18" customHeight="1">
      <c r="A52" s="24"/>
      <c r="B52" s="24"/>
      <c r="C52" s="24"/>
      <c r="D52" s="24"/>
      <c r="E52" s="148"/>
      <c r="F52" s="153"/>
      <c r="G52" s="150"/>
    </row>
    <row r="53" spans="1:7" ht="18" customHeight="1">
      <c r="A53" s="24"/>
      <c r="B53" s="24"/>
      <c r="C53" s="24"/>
      <c r="D53" s="24"/>
      <c r="E53" s="147"/>
      <c r="F53" s="152"/>
      <c r="G53" s="150"/>
    </row>
    <row r="54" spans="1:7" ht="18" customHeight="1">
      <c r="A54" s="24"/>
      <c r="B54" s="24"/>
      <c r="C54" s="24"/>
      <c r="D54" s="24"/>
      <c r="E54" s="147"/>
      <c r="F54" s="152"/>
      <c r="G54" s="150"/>
    </row>
    <row r="55" spans="1:7" ht="18" customHeight="1">
      <c r="A55" s="24"/>
      <c r="B55" s="24"/>
      <c r="C55" s="24"/>
      <c r="D55" s="24"/>
      <c r="E55" s="147"/>
      <c r="F55" s="149"/>
      <c r="G55" s="150"/>
    </row>
    <row r="56" spans="1:7" ht="18" customHeight="1">
      <c r="A56" s="24"/>
      <c r="B56" s="24"/>
      <c r="C56" s="24"/>
      <c r="D56" s="24"/>
      <c r="E56" s="147"/>
      <c r="F56" s="152"/>
      <c r="G56" s="150"/>
    </row>
    <row r="57" spans="1:7" ht="18" customHeight="1">
      <c r="A57" s="24"/>
      <c r="B57" s="24"/>
      <c r="C57" s="24"/>
      <c r="D57" s="24"/>
      <c r="E57" s="147"/>
      <c r="F57" s="149"/>
      <c r="G57" s="150"/>
    </row>
    <row r="58" spans="1:7" ht="18" customHeight="1">
      <c r="A58" s="24"/>
      <c r="B58" s="24"/>
      <c r="C58" s="24"/>
      <c r="D58" s="24"/>
      <c r="E58" s="148"/>
      <c r="F58" s="149"/>
      <c r="G58" s="150"/>
    </row>
    <row r="59" spans="1:7" ht="18" customHeight="1">
      <c r="A59" s="24"/>
      <c r="B59" s="24"/>
      <c r="C59" s="24"/>
      <c r="D59" s="24"/>
      <c r="E59" s="148"/>
      <c r="F59" s="149"/>
      <c r="G59" s="150"/>
    </row>
    <row r="60" spans="1:7" ht="18" customHeight="1">
      <c r="A60" s="24"/>
      <c r="B60" s="24"/>
      <c r="C60" s="24"/>
      <c r="D60" s="24"/>
      <c r="E60" s="148"/>
      <c r="F60" s="149"/>
      <c r="G60" s="150"/>
    </row>
    <row r="61" spans="1:7" ht="18" customHeight="1">
      <c r="A61" s="24"/>
      <c r="B61" s="24"/>
      <c r="C61" s="24"/>
      <c r="D61" s="24"/>
      <c r="E61" s="148"/>
      <c r="F61" s="149"/>
      <c r="G61" s="150"/>
    </row>
    <row r="62" spans="1:7" ht="18" customHeight="1">
      <c r="A62" s="24"/>
      <c r="B62" s="24"/>
      <c r="C62" s="24"/>
      <c r="D62" s="24"/>
      <c r="E62" s="147"/>
      <c r="F62" s="152"/>
      <c r="G62" s="150"/>
    </row>
    <row r="63" spans="1:7" ht="18" customHeight="1">
      <c r="A63" s="24"/>
      <c r="B63" s="24"/>
      <c r="C63" s="24"/>
      <c r="D63" s="24"/>
      <c r="E63" s="148"/>
      <c r="F63" s="149"/>
      <c r="G63" s="150"/>
    </row>
    <row r="64" spans="1:7" ht="18" customHeight="1">
      <c r="A64" s="24"/>
      <c r="B64" s="24"/>
      <c r="C64" s="24"/>
      <c r="D64" s="24"/>
      <c r="E64" s="148"/>
      <c r="F64" s="149"/>
      <c r="G64" s="150"/>
    </row>
    <row r="65" spans="1:7" ht="18" customHeight="1">
      <c r="A65" s="24"/>
      <c r="B65" s="24"/>
      <c r="C65" s="24"/>
      <c r="D65" s="24"/>
      <c r="E65" s="148"/>
      <c r="F65" s="149"/>
      <c r="G65" s="150"/>
    </row>
    <row r="66" spans="1:7" ht="18" customHeight="1">
      <c r="A66" s="24"/>
      <c r="B66" s="24"/>
      <c r="C66" s="24"/>
      <c r="D66" s="24"/>
      <c r="E66" s="148"/>
      <c r="F66" s="149"/>
      <c r="G66" s="150"/>
    </row>
    <row r="67" spans="1:7" ht="18" customHeight="1">
      <c r="A67" s="24"/>
      <c r="B67" s="24"/>
      <c r="C67" s="24"/>
      <c r="D67" s="24"/>
      <c r="E67" s="147"/>
      <c r="F67" s="149"/>
      <c r="G67" s="150"/>
    </row>
    <row r="68" spans="1:7" ht="18" customHeight="1">
      <c r="A68" s="24"/>
      <c r="B68" s="24"/>
      <c r="C68" s="24"/>
      <c r="D68" s="24"/>
      <c r="E68" s="147"/>
      <c r="F68" s="149"/>
      <c r="G68" s="150"/>
    </row>
    <row r="69" spans="1:7" ht="18" customHeight="1">
      <c r="A69" s="24"/>
      <c r="B69" s="24"/>
      <c r="C69" s="24"/>
      <c r="D69" s="24"/>
      <c r="E69" s="147"/>
      <c r="F69" s="149"/>
      <c r="G69" s="150"/>
    </row>
    <row r="70" spans="1:7" ht="18" customHeight="1">
      <c r="A70" s="24"/>
      <c r="B70" s="24"/>
      <c r="C70" s="24"/>
      <c r="D70" s="24"/>
      <c r="E70" s="147"/>
      <c r="F70" s="149"/>
      <c r="G70" s="150"/>
    </row>
    <row r="71" spans="1:7" ht="18" customHeight="1">
      <c r="A71" s="24"/>
      <c r="B71" s="24"/>
      <c r="C71" s="24"/>
      <c r="D71" s="24"/>
      <c r="E71" s="147"/>
      <c r="F71" s="149"/>
      <c r="G71" s="150"/>
    </row>
    <row r="72" spans="1:7" ht="18" customHeight="1">
      <c r="A72" s="24"/>
      <c r="B72" s="24"/>
      <c r="C72" s="24"/>
      <c r="D72" s="24"/>
      <c r="E72" s="147"/>
      <c r="F72" s="149"/>
      <c r="G72" s="150"/>
    </row>
    <row r="73" spans="1:7" ht="18" customHeight="1">
      <c r="A73" s="24"/>
      <c r="B73" s="24"/>
      <c r="C73" s="24"/>
      <c r="D73" s="24"/>
      <c r="E73" s="147"/>
      <c r="F73" s="149"/>
      <c r="G73" s="150"/>
    </row>
    <row r="74" spans="1:7" ht="18" customHeight="1">
      <c r="A74" s="24"/>
      <c r="B74" s="24"/>
      <c r="C74" s="24"/>
      <c r="D74" s="24"/>
      <c r="E74" s="148"/>
      <c r="F74" s="154"/>
      <c r="G74" s="155"/>
    </row>
    <row r="75" spans="1:7" ht="18" customHeight="1">
      <c r="A75" s="24"/>
      <c r="B75" s="24"/>
      <c r="C75" s="24"/>
      <c r="D75" s="24"/>
      <c r="E75" s="148"/>
      <c r="F75" s="156"/>
      <c r="G75" s="149"/>
    </row>
    <row r="76" spans="1:7" ht="18" customHeight="1">
      <c r="A76" s="24"/>
      <c r="B76" s="24"/>
      <c r="C76" s="24"/>
      <c r="D76" s="24"/>
      <c r="E76" s="148"/>
      <c r="F76" s="156"/>
      <c r="G76" s="149"/>
    </row>
    <row r="77" spans="1:7" ht="18" customHeight="1">
      <c r="A77" s="24"/>
      <c r="B77" s="157"/>
      <c r="C77" s="157"/>
      <c r="D77" s="24"/>
      <c r="E77" s="147"/>
      <c r="F77" s="154"/>
      <c r="G77" s="155"/>
    </row>
    <row r="78" spans="1:7" ht="18" customHeight="1">
      <c r="A78" s="24"/>
      <c r="B78" s="24"/>
      <c r="C78" s="24"/>
      <c r="D78" s="24"/>
      <c r="E78" s="147"/>
      <c r="F78" s="156"/>
      <c r="G78" s="155"/>
    </row>
    <row r="79" spans="1:7" ht="18" customHeight="1">
      <c r="A79" s="24"/>
      <c r="B79" s="24"/>
      <c r="C79" s="24"/>
      <c r="D79" s="24"/>
      <c r="E79" s="148"/>
      <c r="F79" s="105"/>
      <c r="G79" s="155"/>
    </row>
    <row r="80" spans="1:7" ht="18" customHeight="1">
      <c r="A80" s="24"/>
      <c r="B80" s="24"/>
      <c r="C80" s="24"/>
      <c r="D80" s="24"/>
      <c r="E80" s="148"/>
      <c r="F80" s="105"/>
      <c r="G80" s="149"/>
    </row>
    <row r="81" spans="1:7" ht="18" customHeight="1">
      <c r="A81" s="24"/>
      <c r="B81" s="24"/>
      <c r="C81" s="24"/>
      <c r="D81" s="24"/>
      <c r="E81" s="148"/>
      <c r="F81" s="105"/>
      <c r="G81" s="149"/>
    </row>
    <row r="82" spans="1:7" ht="18" customHeight="1">
      <c r="A82" s="24"/>
      <c r="B82" s="24"/>
      <c r="C82" s="24"/>
      <c r="D82" s="24"/>
      <c r="E82" s="148"/>
      <c r="F82" s="156"/>
      <c r="G82" s="149"/>
    </row>
    <row r="83" spans="1:7" ht="18" customHeight="1">
      <c r="A83" s="24"/>
      <c r="B83" s="24"/>
      <c r="C83" s="24"/>
      <c r="D83" s="24"/>
      <c r="E83" s="148"/>
      <c r="F83" s="156"/>
      <c r="G83" s="149"/>
    </row>
    <row r="84" spans="1:7" ht="18" customHeight="1">
      <c r="A84" s="24"/>
      <c r="B84" s="24"/>
      <c r="C84" s="24"/>
      <c r="D84" s="24"/>
      <c r="E84" s="148"/>
      <c r="F84" s="156"/>
      <c r="G84" s="149"/>
    </row>
    <row r="85" spans="1:7" ht="18" customHeight="1">
      <c r="A85" s="157"/>
      <c r="B85" s="24"/>
      <c r="C85" s="24"/>
      <c r="D85" s="24"/>
      <c r="E85" s="148"/>
      <c r="F85" s="156"/>
      <c r="G85" s="149"/>
    </row>
    <row r="86" spans="1:7" ht="18" customHeight="1">
      <c r="A86" s="24"/>
      <c r="B86" s="147"/>
      <c r="C86" s="147"/>
      <c r="D86" s="147"/>
      <c r="E86" s="147"/>
      <c r="F86" s="158"/>
      <c r="G86" s="158"/>
    </row>
    <row r="87" spans="1:7" ht="18" customHeight="1">
      <c r="A87" s="159"/>
      <c r="B87" s="159"/>
      <c r="C87" s="159"/>
      <c r="D87" s="159"/>
      <c r="E87" s="159"/>
      <c r="F87" s="159"/>
      <c r="G87" s="159"/>
    </row>
  </sheetData>
  <sheetProtection/>
  <mergeCells count="11">
    <mergeCell ref="A46:D46"/>
    <mergeCell ref="B47:C47"/>
    <mergeCell ref="A1:G1"/>
    <mergeCell ref="A2:G2"/>
    <mergeCell ref="A3:G3"/>
    <mergeCell ref="A4:D4"/>
    <mergeCell ref="H4:J4"/>
    <mergeCell ref="B5:C5"/>
    <mergeCell ref="A43:G43"/>
    <mergeCell ref="A44:G44"/>
    <mergeCell ref="A45:G45"/>
  </mergeCells>
  <printOptions/>
  <pageMargins left="0.7086614173228347" right="0.7086614173228347" top="0.35433070866141736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ptest</cp:lastModifiedBy>
  <cp:lastPrinted>2016-02-09T03:58:21Z</cp:lastPrinted>
  <dcterms:created xsi:type="dcterms:W3CDTF">2008-01-31T07:19:54Z</dcterms:created>
  <dcterms:modified xsi:type="dcterms:W3CDTF">2016-02-09T04:03:33Z</dcterms:modified>
  <cp:category/>
  <cp:version/>
  <cp:contentType/>
  <cp:contentStatus/>
</cp:coreProperties>
</file>