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5 มี.ค.58\"/>
    </mc:Choice>
  </mc:AlternateContent>
  <bookViews>
    <workbookView xWindow="0" yWindow="0" windowWidth="15345" windowHeight="6705" activeTab="3"/>
  </bookViews>
  <sheets>
    <sheet name="งบทดลอง(ใหม่)" sheetId="40" r:id="rId1"/>
    <sheet name="งบรับจ่ายเงินสด  55" sheetId="7" r:id="rId2"/>
    <sheet name="ใบต่อ  55" sheetId="8" r:id="rId3"/>
    <sheet name="รายละเอียด(หมายเหตุ2)" sheetId="11" r:id="rId4"/>
  </sheets>
  <calcPr calcId="152511"/>
</workbook>
</file>

<file path=xl/calcChain.xml><?xml version="1.0" encoding="utf-8"?>
<calcChain xmlns="http://schemas.openxmlformats.org/spreadsheetml/2006/main">
  <c r="G233" i="8" l="1"/>
  <c r="G252" i="7"/>
  <c r="C264" i="8"/>
  <c r="G230" i="7"/>
  <c r="C304" i="40" l="1"/>
  <c r="C302" i="40"/>
  <c r="E301" i="40"/>
  <c r="E300" i="40"/>
  <c r="E299" i="40"/>
  <c r="C268" i="40"/>
  <c r="C267" i="40"/>
  <c r="C266" i="40"/>
  <c r="D171" i="11" l="1"/>
  <c r="G241" i="7" s="1"/>
  <c r="E171" i="11"/>
  <c r="G255" i="8" s="1"/>
  <c r="J272" i="8"/>
  <c r="I247" i="8"/>
  <c r="I245" i="8"/>
  <c r="G240" i="8"/>
  <c r="A238" i="8"/>
  <c r="A237" i="8"/>
  <c r="A236" i="8"/>
  <c r="A235" i="8"/>
  <c r="A234" i="8"/>
  <c r="A233" i="8"/>
  <c r="A232" i="8"/>
  <c r="A231" i="8"/>
  <c r="A230" i="8"/>
  <c r="G256" i="7"/>
  <c r="A224" i="7"/>
  <c r="G224" i="7"/>
  <c r="C251" i="40"/>
  <c r="A240" i="8" l="1"/>
  <c r="G267" i="8"/>
  <c r="G268" i="8" s="1"/>
  <c r="G257" i="7"/>
  <c r="G66" i="8"/>
  <c r="G270" i="8" l="1"/>
  <c r="G85" i="40" l="1"/>
  <c r="H86" i="40" s="1"/>
  <c r="E120" i="11" l="1"/>
  <c r="G185" i="8"/>
  <c r="J217" i="8"/>
  <c r="I190" i="8"/>
  <c r="I192" i="8"/>
  <c r="C188" i="40"/>
  <c r="C244" i="40" s="1"/>
  <c r="C181" i="7"/>
  <c r="C233" i="7" s="1"/>
  <c r="G165" i="7"/>
  <c r="C188" i="7" l="1"/>
  <c r="C240" i="7" s="1"/>
  <c r="C187" i="7"/>
  <c r="C239" i="7" s="1"/>
  <c r="C186" i="7"/>
  <c r="C238" i="7" s="1"/>
  <c r="G171" i="7"/>
  <c r="G170" i="7"/>
  <c r="G168" i="7"/>
  <c r="G166" i="7"/>
  <c r="G164" i="7"/>
  <c r="C197" i="40"/>
  <c r="C249" i="40" s="1"/>
  <c r="C301" i="40" s="1"/>
  <c r="D131" i="11" l="1"/>
  <c r="G189" i="7" s="1"/>
  <c r="E131" i="11"/>
  <c r="G200" i="8" s="1"/>
  <c r="G212" i="8" s="1"/>
  <c r="A183" i="8"/>
  <c r="A182" i="8"/>
  <c r="A181" i="8"/>
  <c r="A180" i="8"/>
  <c r="A179" i="8"/>
  <c r="A178" i="8"/>
  <c r="A177" i="8"/>
  <c r="A176" i="8"/>
  <c r="A175" i="8"/>
  <c r="A185" i="8" s="1"/>
  <c r="G204" i="7"/>
  <c r="G172" i="7"/>
  <c r="A172" i="7"/>
  <c r="G202" i="40"/>
  <c r="G213" i="8" l="1"/>
  <c r="G205" i="7"/>
  <c r="G217" i="8" l="1"/>
  <c r="C125" i="40"/>
  <c r="C176" i="40" s="1"/>
  <c r="C232" i="40" s="1"/>
  <c r="C288" i="40" s="1"/>
  <c r="G138" i="8" l="1"/>
  <c r="E85" i="11" l="1"/>
  <c r="G122" i="8" l="1"/>
  <c r="G145" i="8"/>
  <c r="C124" i="40"/>
  <c r="C175" i="40" s="1"/>
  <c r="C231" i="40" s="1"/>
  <c r="C287" i="40" s="1"/>
  <c r="G139" i="7"/>
  <c r="G138" i="7"/>
  <c r="G132" i="8"/>
  <c r="C132" i="8" s="1"/>
  <c r="C188" i="8" s="1"/>
  <c r="C243" i="8" s="1"/>
  <c r="G131" i="8"/>
  <c r="G126" i="7"/>
  <c r="G125" i="7"/>
  <c r="G136" i="8"/>
  <c r="G120" i="8"/>
  <c r="G119" i="8"/>
  <c r="G118" i="8"/>
  <c r="C129" i="40"/>
  <c r="C180" i="40" s="1"/>
  <c r="C236" i="40" s="1"/>
  <c r="C292" i="40" s="1"/>
  <c r="C127" i="40"/>
  <c r="C178" i="40" s="1"/>
  <c r="C234" i="40" s="1"/>
  <c r="C290" i="40" s="1"/>
  <c r="E12" i="11" l="1"/>
  <c r="C133" i="8" l="1"/>
  <c r="C189" i="8" s="1"/>
  <c r="C244" i="8" s="1"/>
  <c r="C124" i="7"/>
  <c r="C173" i="7" s="1"/>
  <c r="C127" i="7"/>
  <c r="C176" i="7" s="1"/>
  <c r="C144" i="7"/>
  <c r="C196" i="7" s="1"/>
  <c r="C248" i="7" s="1"/>
  <c r="G124" i="40"/>
  <c r="C132" i="40"/>
  <c r="C183" i="40" s="1"/>
  <c r="C239" i="40" s="1"/>
  <c r="C295" i="40" s="1"/>
  <c r="C135" i="40"/>
  <c r="C186" i="40" s="1"/>
  <c r="C242" i="40" s="1"/>
  <c r="C298" i="40" s="1"/>
  <c r="C137" i="40"/>
  <c r="C189" i="40" s="1"/>
  <c r="C245" i="40" s="1"/>
  <c r="C228" i="7" l="1"/>
  <c r="C225" i="7"/>
  <c r="A127" i="8"/>
  <c r="A126" i="8"/>
  <c r="A125" i="8"/>
  <c r="A124" i="8"/>
  <c r="A123" i="8"/>
  <c r="G129" i="8"/>
  <c r="A122" i="8"/>
  <c r="A121" i="8"/>
  <c r="A120" i="8"/>
  <c r="A119" i="8"/>
  <c r="G123" i="7"/>
  <c r="A123" i="7"/>
  <c r="A125" i="7" s="1"/>
  <c r="A129" i="8" l="1"/>
  <c r="E96" i="11"/>
  <c r="G144" i="8" s="1"/>
  <c r="D96" i="11"/>
  <c r="G137" i="7" s="1"/>
  <c r="G152" i="7" s="1"/>
  <c r="G153" i="7" s="1"/>
  <c r="C136" i="40"/>
  <c r="C187" i="40" s="1"/>
  <c r="C243" i="40" s="1"/>
  <c r="C138" i="40"/>
  <c r="C190" i="40" s="1"/>
  <c r="C139" i="40"/>
  <c r="C191" i="40" s="1"/>
  <c r="C140" i="40"/>
  <c r="C192" i="40" s="1"/>
  <c r="C141" i="40"/>
  <c r="C193" i="40" s="1"/>
  <c r="C142" i="40"/>
  <c r="C194" i="40" s="1"/>
  <c r="C246" i="40" s="1"/>
  <c r="C143" i="40"/>
  <c r="C195" i="40" s="1"/>
  <c r="C247" i="40" s="1"/>
  <c r="C299" i="40" s="1"/>
  <c r="C144" i="40"/>
  <c r="C196" i="40" s="1"/>
  <c r="C248" i="40" s="1"/>
  <c r="C300" i="40" s="1"/>
  <c r="G156" i="8" l="1"/>
  <c r="G157" i="8" l="1"/>
  <c r="G159" i="8" s="1"/>
  <c r="C68" i="40"/>
  <c r="C117" i="40" s="1"/>
  <c r="C168" i="40" s="1"/>
  <c r="C224" i="40" s="1"/>
  <c r="C280" i="40" s="1"/>
  <c r="G89" i="7" l="1"/>
  <c r="G80" i="7"/>
  <c r="G85" i="7"/>
  <c r="C65" i="40"/>
  <c r="C114" i="40" s="1"/>
  <c r="C165" i="40" s="1"/>
  <c r="C221" i="40" s="1"/>
  <c r="C277" i="40" s="1"/>
  <c r="C64" i="40"/>
  <c r="C113" i="40" s="1"/>
  <c r="C164" i="40" s="1"/>
  <c r="C220" i="40" s="1"/>
  <c r="C276" i="40" s="1"/>
  <c r="C63" i="40"/>
  <c r="C112" i="40" s="1"/>
  <c r="C163" i="40" s="1"/>
  <c r="C219" i="40" s="1"/>
  <c r="C275" i="40" s="1"/>
  <c r="D60" i="11"/>
  <c r="G88" i="7" s="1"/>
  <c r="C67" i="40"/>
  <c r="C116" i="40" s="1"/>
  <c r="C167" i="40" s="1"/>
  <c r="C223" i="40" s="1"/>
  <c r="C279" i="40" s="1"/>
  <c r="C81" i="40" l="1"/>
  <c r="C134" i="40" s="1"/>
  <c r="C185" i="40" s="1"/>
  <c r="C241" i="40" s="1"/>
  <c r="C297" i="40" s="1"/>
  <c r="C80" i="40"/>
  <c r="C133" i="40" s="1"/>
  <c r="C184" i="40" s="1"/>
  <c r="C240" i="40" s="1"/>
  <c r="C296" i="40" s="1"/>
  <c r="C77" i="40"/>
  <c r="C128" i="40" s="1"/>
  <c r="C179" i="40" s="1"/>
  <c r="C235" i="40" s="1"/>
  <c r="C291" i="40" s="1"/>
  <c r="E87" i="40"/>
  <c r="E140" i="40" s="1"/>
  <c r="E192" i="40" s="1"/>
  <c r="E248" i="40" s="1"/>
  <c r="E304" i="40" s="1"/>
  <c r="E89" i="40"/>
  <c r="E142" i="40" s="1"/>
  <c r="E194" i="40" s="1"/>
  <c r="E250" i="40" s="1"/>
  <c r="E306" i="40" s="1"/>
  <c r="E90" i="40"/>
  <c r="E143" i="40" s="1"/>
  <c r="E195" i="40" s="1"/>
  <c r="E251" i="40" s="1"/>
  <c r="E91" i="40"/>
  <c r="E144" i="40" s="1"/>
  <c r="E196" i="40" s="1"/>
  <c r="E252" i="40" s="1"/>
  <c r="E92" i="40"/>
  <c r="E145" i="40" s="1"/>
  <c r="E197" i="40" s="1"/>
  <c r="E253" i="40" s="1"/>
  <c r="C60" i="40"/>
  <c r="C109" i="40" s="1"/>
  <c r="C160" i="40" s="1"/>
  <c r="C216" i="40" s="1"/>
  <c r="C272" i="40" s="1"/>
  <c r="C66" i="40"/>
  <c r="C115" i="40" s="1"/>
  <c r="C166" i="40" s="1"/>
  <c r="C222" i="40" s="1"/>
  <c r="C278" i="40" s="1"/>
  <c r="E60" i="11" l="1"/>
  <c r="G87" i="8" s="1"/>
  <c r="C86" i="8"/>
  <c r="C143" i="8" s="1"/>
  <c r="C199" i="8" s="1"/>
  <c r="C254" i="8" s="1"/>
  <c r="C85" i="8"/>
  <c r="C142" i="8" s="1"/>
  <c r="C198" i="8" s="1"/>
  <c r="C253" i="8" s="1"/>
  <c r="C84" i="8"/>
  <c r="C141" i="8" s="1"/>
  <c r="C197" i="8" s="1"/>
  <c r="C252" i="8" s="1"/>
  <c r="C83" i="8"/>
  <c r="C140" i="8" s="1"/>
  <c r="C196" i="8" s="1"/>
  <c r="C251" i="8" s="1"/>
  <c r="C82" i="8"/>
  <c r="C139" i="8" s="1"/>
  <c r="C195" i="8" s="1"/>
  <c r="C250" i="8" s="1"/>
  <c r="C81" i="8"/>
  <c r="C138" i="8" s="1"/>
  <c r="C194" i="8" s="1"/>
  <c r="C249" i="8" s="1"/>
  <c r="C80" i="8"/>
  <c r="C137" i="8" s="1"/>
  <c r="C193" i="8" s="1"/>
  <c r="C248" i="8" s="1"/>
  <c r="C79" i="8"/>
  <c r="C136" i="8" s="1"/>
  <c r="C192" i="8" s="1"/>
  <c r="C247" i="8" s="1"/>
  <c r="C78" i="8"/>
  <c r="C135" i="8" s="1"/>
  <c r="C191" i="8" s="1"/>
  <c r="C246" i="8" s="1"/>
  <c r="C77" i="8"/>
  <c r="C134" i="8" s="1"/>
  <c r="C190" i="8" s="1"/>
  <c r="C245" i="8" s="1"/>
  <c r="G73" i="8"/>
  <c r="A71" i="8"/>
  <c r="A70" i="8"/>
  <c r="A69" i="8"/>
  <c r="A68" i="8"/>
  <c r="A67" i="8"/>
  <c r="A66" i="8"/>
  <c r="A65" i="8"/>
  <c r="A64" i="8"/>
  <c r="A63" i="8"/>
  <c r="G103" i="7"/>
  <c r="C87" i="7"/>
  <c r="C136" i="7" s="1"/>
  <c r="C185" i="7" s="1"/>
  <c r="C237" i="7" s="1"/>
  <c r="C86" i="7"/>
  <c r="C135" i="7" s="1"/>
  <c r="C184" i="7" s="1"/>
  <c r="C236" i="7" s="1"/>
  <c r="C85" i="7"/>
  <c r="C134" i="7" s="1"/>
  <c r="C183" i="7" s="1"/>
  <c r="C235" i="7" s="1"/>
  <c r="C84" i="7"/>
  <c r="C133" i="7" s="1"/>
  <c r="C182" i="7" s="1"/>
  <c r="C234" i="7" s="1"/>
  <c r="C82" i="7"/>
  <c r="C131" i="7" s="1"/>
  <c r="C180" i="7" s="1"/>
  <c r="C232" i="7" s="1"/>
  <c r="C81" i="7"/>
  <c r="C130" i="7" s="1"/>
  <c r="C179" i="7" s="1"/>
  <c r="C231" i="7" s="1"/>
  <c r="C80" i="7"/>
  <c r="C129" i="7" s="1"/>
  <c r="C178" i="7" s="1"/>
  <c r="C230" i="7" s="1"/>
  <c r="C79" i="7"/>
  <c r="C128" i="7" s="1"/>
  <c r="C177" i="7" s="1"/>
  <c r="C229" i="7" s="1"/>
  <c r="C77" i="7"/>
  <c r="C126" i="7" s="1"/>
  <c r="C175" i="7" s="1"/>
  <c r="C227" i="7" s="1"/>
  <c r="C76" i="7"/>
  <c r="C125" i="7" s="1"/>
  <c r="C174" i="7" s="1"/>
  <c r="C226" i="7" s="1"/>
  <c r="G74" i="7"/>
  <c r="A74" i="7"/>
  <c r="A76" i="7" s="1"/>
  <c r="G104" i="7" l="1"/>
  <c r="A136" i="8"/>
  <c r="A73" i="8"/>
  <c r="G99" i="8"/>
  <c r="G100" i="8" s="1"/>
  <c r="G102" i="8" l="1"/>
  <c r="C21" i="40" l="1"/>
  <c r="C71" i="40" s="1"/>
  <c r="C120" i="40" s="1"/>
  <c r="C171" i="40" s="1"/>
  <c r="C227" i="40" s="1"/>
  <c r="C283" i="40" s="1"/>
  <c r="C11" i="40"/>
  <c r="C61" i="40" s="1"/>
  <c r="C110" i="40" s="1"/>
  <c r="C161" i="40" s="1"/>
  <c r="C217" i="40" s="1"/>
  <c r="C273" i="40" s="1"/>
  <c r="C8" i="40"/>
  <c r="C58" i="40" s="1"/>
  <c r="C107" i="40" s="1"/>
  <c r="C158" i="40" s="1"/>
  <c r="C214" i="40" s="1"/>
  <c r="C270" i="40" s="1"/>
  <c r="H58" i="40" l="1"/>
  <c r="G58" i="40"/>
  <c r="C12" i="40" l="1"/>
  <c r="C62" i="40" s="1"/>
  <c r="C111" i="40" s="1"/>
  <c r="C162" i="40" s="1"/>
  <c r="C218" i="40" s="1"/>
  <c r="C274" i="40" s="1"/>
  <c r="I51" i="8" l="1"/>
  <c r="G12" i="7" l="1"/>
  <c r="C12" i="7" s="1"/>
  <c r="C67" i="7" s="1"/>
  <c r="C116" i="7" s="1"/>
  <c r="C165" i="7" s="1"/>
  <c r="C217" i="7" s="1"/>
  <c r="G17" i="7"/>
  <c r="C17" i="7" s="1"/>
  <c r="C72" i="7" s="1"/>
  <c r="C121" i="7" s="1"/>
  <c r="C170" i="7" s="1"/>
  <c r="C222" i="7" s="1"/>
  <c r="G15" i="7"/>
  <c r="C15" i="7" s="1"/>
  <c r="C70" i="7" s="1"/>
  <c r="C119" i="7" s="1"/>
  <c r="C168" i="7" s="1"/>
  <c r="C220" i="7" s="1"/>
  <c r="G11" i="7"/>
  <c r="C11" i="7" s="1"/>
  <c r="C66" i="7" s="1"/>
  <c r="C115" i="7" s="1"/>
  <c r="C164" i="7" s="1"/>
  <c r="C216" i="7" s="1"/>
  <c r="G13" i="7"/>
  <c r="C13" i="7" s="1"/>
  <c r="C68" i="7" s="1"/>
  <c r="C117" i="7" s="1"/>
  <c r="C166" i="7" s="1"/>
  <c r="C218" i="7" s="1"/>
  <c r="C29" i="8"/>
  <c r="C30" i="8"/>
  <c r="C31" i="8"/>
  <c r="C33" i="8"/>
  <c r="C88" i="8" s="1"/>
  <c r="C145" i="8" s="1"/>
  <c r="C201" i="8" s="1"/>
  <c r="C256" i="8" s="1"/>
  <c r="C34" i="8"/>
  <c r="C89" i="8" s="1"/>
  <c r="C146" i="8" s="1"/>
  <c r="C202" i="8" s="1"/>
  <c r="C257" i="8" s="1"/>
  <c r="C35" i="8"/>
  <c r="C90" i="8" s="1"/>
  <c r="C147" i="8" s="1"/>
  <c r="C203" i="8" s="1"/>
  <c r="C258" i="8" s="1"/>
  <c r="C36" i="8"/>
  <c r="C91" i="8" s="1"/>
  <c r="C148" i="8" s="1"/>
  <c r="C204" i="8" s="1"/>
  <c r="C259" i="8" s="1"/>
  <c r="C37" i="8"/>
  <c r="C38" i="8"/>
  <c r="C92" i="8" s="1"/>
  <c r="C149" i="8" s="1"/>
  <c r="C39" i="8"/>
  <c r="C93" i="8" s="1"/>
  <c r="C150" i="8" s="1"/>
  <c r="C206" i="8" s="1"/>
  <c r="C261" i="8" s="1"/>
  <c r="C40" i="8"/>
  <c r="C94" i="8" s="1"/>
  <c r="C151" i="8" s="1"/>
  <c r="C41" i="8"/>
  <c r="C95" i="8" s="1"/>
  <c r="C152" i="8" s="1"/>
  <c r="C211" i="8" s="1"/>
  <c r="C266" i="8" s="1"/>
  <c r="C42" i="8"/>
  <c r="C96" i="8" s="1"/>
  <c r="C153" i="8" s="1"/>
  <c r="C43" i="8"/>
  <c r="C97" i="8" s="1"/>
  <c r="C154" i="8" s="1"/>
  <c r="C44" i="8"/>
  <c r="C98" i="8" s="1"/>
  <c r="C155" i="8" s="1"/>
  <c r="C28" i="8"/>
  <c r="C22" i="8"/>
  <c r="C23" i="8"/>
  <c r="C24" i="8"/>
  <c r="C25" i="8"/>
  <c r="C26" i="8"/>
  <c r="C21" i="8"/>
  <c r="C19" i="8"/>
  <c r="C75" i="8" s="1"/>
  <c r="C131" i="8" s="1"/>
  <c r="C25" i="7"/>
  <c r="C26" i="7"/>
  <c r="C27" i="7"/>
  <c r="C28" i="7"/>
  <c r="C29" i="7"/>
  <c r="C30" i="7"/>
  <c r="C31" i="7"/>
  <c r="C32" i="7"/>
  <c r="C33" i="7"/>
  <c r="C34" i="7"/>
  <c r="C36" i="7"/>
  <c r="C89" i="7" s="1"/>
  <c r="C138" i="7" s="1"/>
  <c r="C190" i="7" s="1"/>
  <c r="C242" i="7" s="1"/>
  <c r="C37" i="7"/>
  <c r="C90" i="7" s="1"/>
  <c r="C139" i="7" s="1"/>
  <c r="C191" i="7" s="1"/>
  <c r="C243" i="7" s="1"/>
  <c r="C38" i="7"/>
  <c r="C91" i="7" s="1"/>
  <c r="C140" i="7" s="1"/>
  <c r="C192" i="7" s="1"/>
  <c r="C244" i="7" s="1"/>
  <c r="C39" i="7"/>
  <c r="C92" i="7" s="1"/>
  <c r="C141" i="7" s="1"/>
  <c r="C193" i="7" s="1"/>
  <c r="C245" i="7" s="1"/>
  <c r="C40" i="7"/>
  <c r="C93" i="7" s="1"/>
  <c r="C142" i="7" s="1"/>
  <c r="C194" i="7" s="1"/>
  <c r="C246" i="7" s="1"/>
  <c r="C41" i="7"/>
  <c r="C94" i="7" s="1"/>
  <c r="C143" i="7" s="1"/>
  <c r="C195" i="7" s="1"/>
  <c r="C247" i="7" s="1"/>
  <c r="C42" i="7"/>
  <c r="C43" i="7"/>
  <c r="C44" i="7"/>
  <c r="C96" i="7" s="1"/>
  <c r="C145" i="7" s="1"/>
  <c r="C197" i="7" s="1"/>
  <c r="C249" i="7" s="1"/>
  <c r="C45" i="7"/>
  <c r="C97" i="7" s="1"/>
  <c r="C146" i="7" s="1"/>
  <c r="C198" i="7" s="1"/>
  <c r="C250" i="7" s="1"/>
  <c r="C46" i="7"/>
  <c r="C47" i="7"/>
  <c r="C98" i="7" s="1"/>
  <c r="C147" i="7" s="1"/>
  <c r="C199" i="7" s="1"/>
  <c r="C251" i="7" s="1"/>
  <c r="C48" i="7"/>
  <c r="C99" i="7" s="1"/>
  <c r="C148" i="7" s="1"/>
  <c r="C200" i="7" s="1"/>
  <c r="C252" i="7" s="1"/>
  <c r="C49" i="7"/>
  <c r="C100" i="7" s="1"/>
  <c r="C149" i="7" s="1"/>
  <c r="C201" i="7" s="1"/>
  <c r="C253" i="7" s="1"/>
  <c r="C50" i="7"/>
  <c r="C101" i="7" s="1"/>
  <c r="C150" i="7" s="1"/>
  <c r="C202" i="7" s="1"/>
  <c r="C254" i="7" s="1"/>
  <c r="C51" i="7"/>
  <c r="C102" i="7" s="1"/>
  <c r="C151" i="7" s="1"/>
  <c r="C203" i="7" s="1"/>
  <c r="C255" i="7" s="1"/>
  <c r="C52" i="7"/>
  <c r="C53" i="7"/>
  <c r="C24" i="7"/>
  <c r="C22" i="7"/>
  <c r="C21" i="7"/>
  <c r="C14" i="7"/>
  <c r="C69" i="7" s="1"/>
  <c r="C118" i="7" s="1"/>
  <c r="C167" i="7" s="1"/>
  <c r="C219" i="7" s="1"/>
  <c r="C16" i="7"/>
  <c r="C71" i="7" s="1"/>
  <c r="C120" i="7" s="1"/>
  <c r="C169" i="7" s="1"/>
  <c r="C221" i="7" s="1"/>
  <c r="C18" i="7"/>
  <c r="C73" i="7" s="1"/>
  <c r="C122" i="7" s="1"/>
  <c r="C171" i="7" s="1"/>
  <c r="C223" i="7" s="1"/>
  <c r="C7" i="8"/>
  <c r="C63" i="8" s="1"/>
  <c r="C119" i="8" s="1"/>
  <c r="C175" i="8" s="1"/>
  <c r="C230" i="8" s="1"/>
  <c r="C8" i="8"/>
  <c r="C64" i="8" s="1"/>
  <c r="C120" i="8" s="1"/>
  <c r="C176" i="8" s="1"/>
  <c r="C231" i="8" s="1"/>
  <c r="C9" i="8"/>
  <c r="C65" i="8" s="1"/>
  <c r="C121" i="8" s="1"/>
  <c r="C177" i="8" s="1"/>
  <c r="C232" i="8" s="1"/>
  <c r="C10" i="8"/>
  <c r="C66" i="8" s="1"/>
  <c r="C122" i="8" s="1"/>
  <c r="C178" i="8" s="1"/>
  <c r="C233" i="8" s="1"/>
  <c r="C11" i="8"/>
  <c r="C67" i="8" s="1"/>
  <c r="C123" i="8" s="1"/>
  <c r="C179" i="8" s="1"/>
  <c r="C234" i="8" s="1"/>
  <c r="C12" i="8"/>
  <c r="C68" i="8" s="1"/>
  <c r="C124" i="8" s="1"/>
  <c r="C180" i="8" s="1"/>
  <c r="C235" i="8" s="1"/>
  <c r="C13" i="8"/>
  <c r="C69" i="8" s="1"/>
  <c r="C125" i="8" s="1"/>
  <c r="C181" i="8" s="1"/>
  <c r="C236" i="8" s="1"/>
  <c r="C14" i="8"/>
  <c r="C70" i="8" s="1"/>
  <c r="C126" i="8" s="1"/>
  <c r="C182" i="8" s="1"/>
  <c r="C237" i="8" s="1"/>
  <c r="C15" i="8"/>
  <c r="C71" i="8" s="1"/>
  <c r="C127" i="8" s="1"/>
  <c r="C183" i="8" s="1"/>
  <c r="C238" i="8" s="1"/>
  <c r="C16" i="8"/>
  <c r="C72" i="8" s="1"/>
  <c r="C128" i="8" s="1"/>
  <c r="C184" i="8" s="1"/>
  <c r="C239" i="8" s="1"/>
  <c r="C6" i="8"/>
  <c r="C62" i="8" s="1"/>
  <c r="C118" i="8" s="1"/>
  <c r="A8" i="8"/>
  <c r="A7" i="8"/>
  <c r="A10" i="8"/>
  <c r="A15" i="8"/>
  <c r="A14" i="8"/>
  <c r="A11" i="8"/>
  <c r="A9" i="8"/>
  <c r="A13" i="8"/>
  <c r="A12" i="8"/>
  <c r="C9" i="7"/>
  <c r="C64" i="7" s="1"/>
  <c r="C113" i="7" s="1"/>
  <c r="C162" i="7" s="1"/>
  <c r="C214" i="7" s="1"/>
  <c r="C210" i="8" l="1"/>
  <c r="C265" i="8" s="1"/>
  <c r="C207" i="8"/>
  <c r="C262" i="8" s="1"/>
  <c r="C208" i="8"/>
  <c r="C263" i="8" s="1"/>
  <c r="C205" i="8"/>
  <c r="C260" i="8" s="1"/>
  <c r="C187" i="8"/>
  <c r="C242" i="8" s="1"/>
  <c r="A134" i="8"/>
  <c r="C174" i="8"/>
  <c r="J118" i="8"/>
  <c r="C129" i="8"/>
  <c r="C74" i="7"/>
  <c r="C123" i="7" s="1"/>
  <c r="C73" i="8"/>
  <c r="E37" i="40"/>
  <c r="E85" i="40" s="1"/>
  <c r="E138" i="40" s="1"/>
  <c r="E190" i="40" s="1"/>
  <c r="E246" i="40" s="1"/>
  <c r="E302" i="40" s="1"/>
  <c r="C24" i="40"/>
  <c r="C229" i="8" l="1"/>
  <c r="C185" i="8"/>
  <c r="A242" i="8" s="1"/>
  <c r="J174" i="8"/>
  <c r="C172" i="7"/>
  <c r="I128" i="7"/>
  <c r="C72" i="40"/>
  <c r="C121" i="40" s="1"/>
  <c r="C172" i="40" s="1"/>
  <c r="C228" i="40" s="1"/>
  <c r="C284" i="40" s="1"/>
  <c r="G37" i="40"/>
  <c r="C19" i="40"/>
  <c r="C69" i="40" s="1"/>
  <c r="C118" i="40" s="1"/>
  <c r="C169" i="40" s="1"/>
  <c r="C225" i="40" s="1"/>
  <c r="C281" i="40" s="1"/>
  <c r="E40" i="40"/>
  <c r="E88" i="40" s="1"/>
  <c r="E141" i="40" s="1"/>
  <c r="E193" i="40" s="1"/>
  <c r="E249" i="40" s="1"/>
  <c r="E305" i="40" s="1"/>
  <c r="C7" i="40"/>
  <c r="C57" i="40" s="1"/>
  <c r="C20" i="40"/>
  <c r="C70" i="40" s="1"/>
  <c r="C119" i="40" s="1"/>
  <c r="C31" i="40"/>
  <c r="C79" i="40" s="1"/>
  <c r="C131" i="40" s="1"/>
  <c r="C30" i="40"/>
  <c r="C78" i="40" s="1"/>
  <c r="C130" i="40" s="1"/>
  <c r="C181" i="40" s="1"/>
  <c r="C237" i="40" s="1"/>
  <c r="C293" i="40" s="1"/>
  <c r="C28" i="40"/>
  <c r="C76" i="40" s="1"/>
  <c r="C126" i="40" s="1"/>
  <c r="C25" i="40"/>
  <c r="C73" i="40" s="1"/>
  <c r="C122" i="40" s="1"/>
  <c r="C173" i="40" s="1"/>
  <c r="C229" i="40" s="1"/>
  <c r="C285" i="40" s="1"/>
  <c r="C26" i="40"/>
  <c r="C74" i="40" s="1"/>
  <c r="C123" i="40" s="1"/>
  <c r="C174" i="40" s="1"/>
  <c r="C230" i="40" s="1"/>
  <c r="C286" i="40" s="1"/>
  <c r="C9" i="40"/>
  <c r="C59" i="40" s="1"/>
  <c r="C108" i="40" s="1"/>
  <c r="C159" i="40" s="1"/>
  <c r="C215" i="40" s="1"/>
  <c r="C271" i="40" s="1"/>
  <c r="I177" i="7" l="1"/>
  <c r="C224" i="7"/>
  <c r="I229" i="7" s="1"/>
  <c r="J229" i="8"/>
  <c r="C240" i="8"/>
  <c r="G119" i="40"/>
  <c r="C170" i="40"/>
  <c r="C226" i="40" s="1"/>
  <c r="C282" i="40" s="1"/>
  <c r="C177" i="40"/>
  <c r="C233" i="40" s="1"/>
  <c r="C289" i="40" s="1"/>
  <c r="G175" i="40"/>
  <c r="C106" i="40"/>
  <c r="C157" i="40" s="1"/>
  <c r="C213" i="40" s="1"/>
  <c r="C269" i="40" s="1"/>
  <c r="G62" i="40"/>
  <c r="C93" i="40"/>
  <c r="G7" i="40"/>
  <c r="G13" i="40"/>
  <c r="G14" i="40" s="1"/>
  <c r="G24" i="40"/>
  <c r="G170" i="40" l="1"/>
  <c r="H165" i="40"/>
  <c r="G114" i="40"/>
  <c r="J162" i="8" s="1"/>
  <c r="H14" i="11" l="1"/>
  <c r="I10" i="8" l="1"/>
  <c r="I37" i="7"/>
  <c r="K35" i="7"/>
  <c r="J10" i="8"/>
  <c r="J39" i="7" l="1"/>
  <c r="G17" i="8"/>
  <c r="J11" i="8"/>
  <c r="J14" i="8" s="1"/>
  <c r="H13" i="11"/>
  <c r="J12" i="7" l="1"/>
  <c r="G19" i="7" l="1"/>
  <c r="J19" i="7" l="1"/>
  <c r="I22" i="7"/>
  <c r="J22" i="7" s="1"/>
  <c r="I29" i="7"/>
  <c r="I12" i="7"/>
  <c r="I32" i="7"/>
  <c r="J32" i="7" s="1"/>
  <c r="E23" i="11" l="1"/>
  <c r="G32" i="8" s="1"/>
  <c r="D23" i="11"/>
  <c r="I35" i="7"/>
  <c r="J35" i="7" s="1"/>
  <c r="A19" i="7"/>
  <c r="A21" i="7" s="1"/>
  <c r="J17" i="7"/>
  <c r="I17" i="7"/>
  <c r="I15" i="8"/>
  <c r="G35" i="7" l="1"/>
  <c r="C35" i="7" s="1"/>
  <c r="C32" i="8"/>
  <c r="A17" i="8"/>
  <c r="I19" i="7"/>
  <c r="I20" i="7"/>
  <c r="I27" i="7"/>
  <c r="C54" i="7" l="1"/>
  <c r="C88" i="7"/>
  <c r="C45" i="8"/>
  <c r="C87" i="8"/>
  <c r="C144" i="8" s="1"/>
  <c r="C200" i="8" s="1"/>
  <c r="C255" i="8" s="1"/>
  <c r="G54" i="7"/>
  <c r="G55" i="7" s="1"/>
  <c r="G45" i="8"/>
  <c r="G46" i="8" s="1"/>
  <c r="C212" i="8" l="1"/>
  <c r="C267" i="8"/>
  <c r="C268" i="8" s="1"/>
  <c r="C156" i="8"/>
  <c r="C157" i="8" s="1"/>
  <c r="C103" i="7"/>
  <c r="C137" i="7"/>
  <c r="C189" i="7" s="1"/>
  <c r="C99" i="8"/>
  <c r="G48" i="8"/>
  <c r="C241" i="7" l="1"/>
  <c r="C256" i="7" s="1"/>
  <c r="C257" i="7" s="1"/>
  <c r="C213" i="8"/>
  <c r="C204" i="7"/>
  <c r="C205" i="7" s="1"/>
  <c r="C152" i="7"/>
  <c r="C153" i="7" s="1"/>
  <c r="C159" i="8" s="1"/>
  <c r="C104" i="7"/>
  <c r="C100" i="8"/>
  <c r="C273" i="8" l="1"/>
  <c r="C270" i="8"/>
  <c r="C215" i="8"/>
  <c r="C218" i="8"/>
  <c r="C162" i="8"/>
  <c r="C105" i="8"/>
  <c r="C102" i="8"/>
  <c r="F8" i="11" l="1"/>
  <c r="C45" i="11" s="1"/>
  <c r="F45" i="11" s="1"/>
  <c r="F9" i="11"/>
  <c r="C46" i="11" s="1"/>
  <c r="F46" i="11" s="1"/>
  <c r="C82" i="11" s="1"/>
  <c r="F82" i="11" s="1"/>
  <c r="C117" i="11" s="1"/>
  <c r="F117" i="11" s="1"/>
  <c r="C153" i="11" s="1"/>
  <c r="F153" i="11" s="1"/>
  <c r="C81" i="11" l="1"/>
  <c r="F81" i="11" s="1"/>
  <c r="C116" i="11" s="1"/>
  <c r="F116" i="11" s="1"/>
  <c r="C152" i="11" s="1"/>
  <c r="F152" i="11" s="1"/>
  <c r="F22" i="11" l="1"/>
  <c r="C59" i="11" s="1"/>
  <c r="F59" i="11" s="1"/>
  <c r="C95" i="11" s="1"/>
  <c r="F95" i="11" s="1"/>
  <c r="C130" i="11" s="1"/>
  <c r="F130" i="11" s="1"/>
  <c r="C170" i="11" s="1"/>
  <c r="F170" i="11" s="1"/>
  <c r="F13" i="11" l="1"/>
  <c r="C50" i="11" s="1"/>
  <c r="F50" i="11" s="1"/>
  <c r="C86" i="11" s="1"/>
  <c r="F86" i="11" s="1"/>
  <c r="C121" i="11" s="1"/>
  <c r="F121" i="11" s="1"/>
  <c r="C158" i="11" l="1"/>
  <c r="F158" i="11" s="1"/>
  <c r="C157" i="11"/>
  <c r="F157" i="11" s="1"/>
  <c r="C45" i="40" l="1"/>
  <c r="G221" i="40" l="1"/>
  <c r="I221" i="40" s="1"/>
  <c r="G11" i="40" l="1"/>
  <c r="G9" i="40"/>
  <c r="H15" i="40" l="1"/>
  <c r="H14" i="40"/>
  <c r="H13" i="40"/>
  <c r="H12" i="40"/>
  <c r="H11" i="40"/>
  <c r="H9" i="40"/>
  <c r="H8" i="40"/>
  <c r="H7" i="40"/>
  <c r="F20" i="11" l="1"/>
  <c r="C57" i="11" s="1"/>
  <c r="F57" i="11" s="1"/>
  <c r="C93" i="11" s="1"/>
  <c r="F93" i="11" s="1"/>
  <c r="C128" i="11" s="1"/>
  <c r="F128" i="11" s="1"/>
  <c r="C168" i="11" s="1"/>
  <c r="F168" i="11" s="1"/>
  <c r="F17" i="11" l="1"/>
  <c r="C54" i="11" s="1"/>
  <c r="F54" i="11" s="1"/>
  <c r="C90" i="11" s="1"/>
  <c r="F90" i="11" s="1"/>
  <c r="C125" i="11" s="1"/>
  <c r="F125" i="11" s="1"/>
  <c r="F14" i="11"/>
  <c r="C51" i="11" s="1"/>
  <c r="F51" i="11" s="1"/>
  <c r="C87" i="11" s="1"/>
  <c r="F87" i="11" s="1"/>
  <c r="C122" i="11" s="1"/>
  <c r="F122" i="11" s="1"/>
  <c r="F15" i="11"/>
  <c r="C52" i="11" s="1"/>
  <c r="F52" i="11" s="1"/>
  <c r="C88" i="11" s="1"/>
  <c r="F88" i="11" s="1"/>
  <c r="C123" i="11" s="1"/>
  <c r="F123" i="11" s="1"/>
  <c r="F6" i="11"/>
  <c r="F19" i="11"/>
  <c r="C56" i="11" s="1"/>
  <c r="F56" i="11" s="1"/>
  <c r="C92" i="11" s="1"/>
  <c r="F92" i="11" s="1"/>
  <c r="C127" i="11" s="1"/>
  <c r="F127" i="11" s="1"/>
  <c r="C167" i="11" s="1"/>
  <c r="F167" i="11" s="1"/>
  <c r="F18" i="11"/>
  <c r="C55" i="11" s="1"/>
  <c r="F55" i="11" s="1"/>
  <c r="C91" i="11" s="1"/>
  <c r="F91" i="11" s="1"/>
  <c r="C126" i="11" s="1"/>
  <c r="F126" i="11" s="1"/>
  <c r="C166" i="11" s="1"/>
  <c r="F166" i="11" s="1"/>
  <c r="F16" i="11"/>
  <c r="C53" i="11" s="1"/>
  <c r="F53" i="11" s="1"/>
  <c r="C89" i="11" s="1"/>
  <c r="F89" i="11" s="1"/>
  <c r="C124" i="11" s="1"/>
  <c r="F124" i="11" s="1"/>
  <c r="C163" i="11" s="1"/>
  <c r="F163" i="11" s="1"/>
  <c r="C165" i="11" l="1"/>
  <c r="F165" i="11" s="1"/>
  <c r="C164" i="11"/>
  <c r="F164" i="11" s="1"/>
  <c r="C162" i="11"/>
  <c r="F162" i="11" s="1"/>
  <c r="C160" i="11"/>
  <c r="F160" i="11" s="1"/>
  <c r="C161" i="11"/>
  <c r="F161" i="11" s="1"/>
  <c r="C159" i="11"/>
  <c r="F159" i="11" s="1"/>
  <c r="H6" i="11"/>
  <c r="C43" i="11"/>
  <c r="F43" i="11" s="1"/>
  <c r="C79" i="11" s="1"/>
  <c r="F79" i="11" s="1"/>
  <c r="C114" i="11" s="1"/>
  <c r="F114" i="11" s="1"/>
  <c r="C150" i="11" s="1"/>
  <c r="F12" i="11"/>
  <c r="C49" i="11" s="1"/>
  <c r="F49" i="11" s="1"/>
  <c r="C85" i="11" s="1"/>
  <c r="F85" i="11" s="1"/>
  <c r="C120" i="11" s="1"/>
  <c r="F120" i="11" s="1"/>
  <c r="C156" i="11" s="1"/>
  <c r="F156" i="11" s="1"/>
  <c r="J44" i="8"/>
  <c r="I44" i="8"/>
  <c r="F11" i="11"/>
  <c r="C48" i="11" s="1"/>
  <c r="F48" i="11" s="1"/>
  <c r="C84" i="11" s="1"/>
  <c r="F84" i="11" s="1"/>
  <c r="C119" i="11" s="1"/>
  <c r="F119" i="11" s="1"/>
  <c r="C155" i="11" s="1"/>
  <c r="F155" i="11" s="1"/>
  <c r="F150" i="11" l="1"/>
  <c r="F10" i="11"/>
  <c r="C47" i="11" s="1"/>
  <c r="F47" i="11" s="1"/>
  <c r="C83" i="11" s="1"/>
  <c r="F83" i="11" s="1"/>
  <c r="C118" i="11" s="1"/>
  <c r="F118" i="11" s="1"/>
  <c r="C154" i="11" s="1"/>
  <c r="F154" i="11" s="1"/>
  <c r="F7" i="11" l="1"/>
  <c r="C44" i="11" s="1"/>
  <c r="F44" i="11" s="1"/>
  <c r="C80" i="11" s="1"/>
  <c r="F80" i="11" s="1"/>
  <c r="C115" i="11" s="1"/>
  <c r="F115" i="11" s="1"/>
  <c r="C151" i="11" s="1"/>
  <c r="I6" i="8"/>
  <c r="F151" i="11" l="1"/>
  <c r="C17" i="8"/>
  <c r="C46" i="8" s="1"/>
  <c r="C19" i="7" l="1"/>
  <c r="C55" i="7" s="1"/>
  <c r="C48" i="8" s="1"/>
  <c r="C51" i="8" l="1"/>
  <c r="G51" i="8" l="1"/>
  <c r="I53" i="8" l="1"/>
  <c r="G64" i="7"/>
  <c r="G105" i="8" s="1"/>
  <c r="J54" i="8"/>
  <c r="K54" i="8"/>
  <c r="I105" i="8" l="1"/>
  <c r="G113" i="7"/>
  <c r="G162" i="8" s="1"/>
  <c r="J164" i="8" l="1"/>
  <c r="G162" i="7"/>
  <c r="G218" i="8" s="1"/>
  <c r="G214" i="7" s="1"/>
  <c r="G273" i="8" s="1"/>
  <c r="I162" i="8"/>
  <c r="J275" i="8" l="1"/>
  <c r="I273" i="8"/>
  <c r="J220" i="8"/>
  <c r="I218" i="8"/>
  <c r="G150" i="40" l="1"/>
  <c r="F5" i="11" l="1"/>
  <c r="C42" i="11" s="1"/>
  <c r="F42" i="11" l="1"/>
  <c r="F21" i="11"/>
  <c r="C23" i="11"/>
  <c r="F23" i="11" l="1"/>
  <c r="E38" i="40" s="1"/>
  <c r="E45" i="40" s="1"/>
  <c r="G45" i="40" s="1"/>
  <c r="C58" i="11"/>
  <c r="C78" i="11"/>
  <c r="H23" i="11" l="1"/>
  <c r="F78" i="11"/>
  <c r="F58" i="11"/>
  <c r="C60" i="11"/>
  <c r="C94" i="11" l="1"/>
  <c r="F60" i="11"/>
  <c r="E86" i="40" s="1"/>
  <c r="E93" i="40" s="1"/>
  <c r="G93" i="40" s="1"/>
  <c r="C113" i="11"/>
  <c r="F113" i="11" l="1"/>
  <c r="C149" i="11" s="1"/>
  <c r="F149" i="11" s="1"/>
  <c r="F94" i="11"/>
  <c r="C96" i="11"/>
  <c r="C129" i="11" l="1"/>
  <c r="F96" i="11"/>
  <c r="E139" i="40" s="1"/>
  <c r="E146" i="40" l="1"/>
  <c r="F129" i="11"/>
  <c r="C131" i="11"/>
  <c r="C146" i="40"/>
  <c r="C182" i="40"/>
  <c r="C198" i="40"/>
  <c r="C238" i="40" l="1"/>
  <c r="C294" i="40" s="1"/>
  <c r="C307" i="40" s="1"/>
  <c r="G146" i="40"/>
  <c r="F131" i="11"/>
  <c r="E191" i="40" s="1"/>
  <c r="C169" i="11"/>
  <c r="C254" i="40" l="1"/>
  <c r="E198" i="40"/>
  <c r="G198" i="40" s="1"/>
  <c r="F169" i="11"/>
  <c r="F171" i="11" s="1"/>
  <c r="E247" i="40" s="1"/>
  <c r="E303" i="40" s="1"/>
  <c r="E307" i="40" s="1"/>
  <c r="C171" i="11"/>
  <c r="E254" i="40" l="1"/>
  <c r="G254" i="40" s="1"/>
</calcChain>
</file>

<file path=xl/sharedStrings.xml><?xml version="1.0" encoding="utf-8"?>
<sst xmlns="http://schemas.openxmlformats.org/spreadsheetml/2006/main" count="1775" uniqueCount="279">
  <si>
    <t>รายการ</t>
  </si>
  <si>
    <t>รหัสบัญชี</t>
  </si>
  <si>
    <t>เดบิท</t>
  </si>
  <si>
    <t>เครดิต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</si>
  <si>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</si>
  <si>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</si>
  <si>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</si>
  <si>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</si>
  <si>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</si>
  <si>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</si>
  <si>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</si>
  <si>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</si>
  <si>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</si>
  <si>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</si>
  <si>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</si>
  <si>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เงินสะสม</t>
  </si>
  <si>
    <t>-</t>
  </si>
  <si>
    <t>รายงานรับ  -   จ่าย   เงินสด</t>
  </si>
  <si>
    <t xml:space="preserve">จนถึงปัจจุบัน </t>
  </si>
  <si>
    <t>เดือนนี้</t>
  </si>
  <si>
    <t>ประมาณการ</t>
  </si>
  <si>
    <t>บาท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</si>
  <si>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</si>
  <si>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</si>
  <si>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</si>
  <si>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</si>
  <si>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</si>
  <si>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ค่าธรรมเนียมฯ</t>
  </si>
  <si>
    <t>รายได้จากทรัพย์สิน</t>
  </si>
  <si>
    <t>รายได้จากสาธารณูปโภค</t>
  </si>
  <si>
    <t>รายได้จากทุน</t>
  </si>
  <si>
    <t>ภาษีจัดสรร</t>
  </si>
  <si>
    <t>รับฝาก   (หมายเหตุ  2)</t>
  </si>
  <si>
    <t>ลูกหนี้เงินยืมงบประมาณ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</si>
  <si>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</si>
  <si>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</si>
  <si>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</si>
  <si>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</si>
  <si>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</si>
  <si>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รายจ่าย</t>
  </si>
  <si>
    <t>(ต่ำกว่า)</t>
  </si>
  <si>
    <t>ยอดยกไป</t>
  </si>
  <si>
    <t>รายรับ  (หมายเหตุ  1)</t>
  </si>
  <si>
    <t>รวม</t>
  </si>
  <si>
    <t>รวมทั้งสิ้น</t>
  </si>
  <si>
    <t>เงินรับฝาก  (หมายเหตุ  2)</t>
  </si>
  <si>
    <t>รายละเอียดประกอบงบทดลอง     และรายรับ - จ่ายเงินสด</t>
  </si>
  <si>
    <t>รับ</t>
  </si>
  <si>
    <t>จ่าย</t>
  </si>
  <si>
    <t>หมายเหตุ</t>
  </si>
  <si>
    <t>ภาษีหัก   ณ   ที่จ่าย</t>
  </si>
  <si>
    <t>เงินประกันสัญญา</t>
  </si>
  <si>
    <t>ค่าใช้จ่ายในการจัดเก็บภาษีบำรุงท้องที่  5%</t>
  </si>
  <si>
    <t>เงินทุนสำรองเงินสะสม</t>
  </si>
  <si>
    <t>จ่ายขาดเงินสะสม</t>
  </si>
  <si>
    <t>ลูกหนี้เงินยืมเงินสะสม</t>
  </si>
  <si>
    <t>ส่วนลดในการจัดเก็บภาษีบำรุงท้องที่  6%</t>
  </si>
  <si>
    <t>คงเหลือ</t>
  </si>
  <si>
    <t>เงินฝากธนาคาร</t>
  </si>
  <si>
    <t>110606</t>
  </si>
  <si>
    <t>110605</t>
  </si>
  <si>
    <t>510000</t>
  </si>
  <si>
    <t>520000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</si>
  <si>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</si>
  <si>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</si>
  <si>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</si>
  <si>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</si>
  <si>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</si>
  <si>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</si>
  <si>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</si>
  <si>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</si>
  <si>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320000</t>
  </si>
  <si>
    <t>300000</t>
  </si>
  <si>
    <t>230100</t>
  </si>
  <si>
    <t>210402</t>
  </si>
  <si>
    <t>ชื่อบัญชี</t>
  </si>
  <si>
    <t>411000</t>
  </si>
  <si>
    <t>412000</t>
  </si>
  <si>
    <t>413000</t>
  </si>
  <si>
    <t>415000</t>
  </si>
  <si>
    <t>414000</t>
  </si>
  <si>
    <t>416000</t>
  </si>
  <si>
    <t>420000</t>
  </si>
  <si>
    <t>430000</t>
  </si>
  <si>
    <t>522000</t>
  </si>
  <si>
    <t>522001</t>
  </si>
  <si>
    <t>รายจ่ายเบิกตัดปี(ค้างจ่าย)</t>
  </si>
  <si>
    <t>110201</t>
  </si>
  <si>
    <t>110203</t>
  </si>
  <si>
    <t>ธนาคารกรุงไทย</t>
  </si>
  <si>
    <t>110202</t>
  </si>
  <si>
    <t>รายจ่ายรอจ่าย</t>
  </si>
  <si>
    <t>210500</t>
  </si>
  <si>
    <t>551000</t>
  </si>
  <si>
    <t>เทศบาลตำบลแสนสุข</t>
  </si>
  <si>
    <t xml:space="preserve">ที่ดินและสิ่งก่อสร้าง </t>
  </si>
  <si>
    <t xml:space="preserve">รายจ่ายอื่น </t>
  </si>
  <si>
    <t xml:space="preserve"> </t>
  </si>
  <si>
    <t>เงินหลักประกันสุขภาพ  สปสช.</t>
  </si>
  <si>
    <t>( นายจรูญ  เจือจันทร์ )</t>
  </si>
  <si>
    <t>ปลัดเทศบาลตำบลแสนสุข</t>
  </si>
  <si>
    <t>ลูกหนี้เงิน- ภาษีโรงเรือน</t>
  </si>
  <si>
    <t>สหกรณ์ออมทรัพย์ พนง.</t>
  </si>
  <si>
    <t>สหกรณ์ ออมทรัพย์ครู</t>
  </si>
  <si>
    <t>ธนาคารอาคารสงเคราะห์</t>
  </si>
  <si>
    <t>กฌ</t>
  </si>
  <si>
    <t xml:space="preserve"> -  ธนาคาร   กรุงไทย ออมทรัพย์   เลขที่  314-1-42112-9</t>
  </si>
  <si>
    <t xml:space="preserve"> -  ธนาคาร  ธกส. เผื่อเรียก   เลขที่  850-2-50109-1</t>
  </si>
  <si>
    <t xml:space="preserve"> -  ธนาคาร  ธกส. เผื่อเรียก (สปสช.)   เลขที่  850-2-99239-3</t>
  </si>
  <si>
    <t xml:space="preserve"> -  ธนาคารออมสิน  ประเภทฝากประจำ เลขที่ 3-00001481013</t>
  </si>
  <si>
    <t>รายจ่ายค้างจ่าย</t>
  </si>
  <si>
    <t>เงินฝากกองทุนส่งเสริมกิจการเทศบาล</t>
  </si>
  <si>
    <t>เจ้าหนี้เงินกู้ เงินกู้ ก.ส.ท.</t>
  </si>
  <si>
    <t>เงินอุดหนุนเฉพาะกิจค้างจ่าย</t>
  </si>
  <si>
    <t>เงินอุดหนุนเฉพาะกิจฝากจังหวัด</t>
  </si>
  <si>
    <t>ทรัพย์สินเกิดจากเงินกู้  กองทุนส่งเสริมกิจการเทศบาล</t>
  </si>
  <si>
    <t>เทศบาลตำบลแสนสุข     อำเภอวารินชำราบ     จังหวัดอุบลราชธานี</t>
  </si>
  <si>
    <t>(ลงชื่อ) ......…………………………..</t>
  </si>
  <si>
    <t xml:space="preserve"> -  ธนาคารกรุงไทย กระแสรายวัน เลขที่   314-6-02024-6</t>
  </si>
  <si>
    <t>(ลงชื่อ)..................................................</t>
  </si>
  <si>
    <t xml:space="preserve">         ( นางเพ็ญศรี  ศรีเข้ม )</t>
  </si>
  <si>
    <t xml:space="preserve">           ผู้อำนวยการกองคลัง</t>
  </si>
  <si>
    <t>( ลงชื่อ)....................................................</t>
  </si>
  <si>
    <t>ธนาคาร ธกส.</t>
  </si>
  <si>
    <t>ลูกหนี้เงิน- ภาษีป้าย</t>
  </si>
  <si>
    <t>120200</t>
  </si>
  <si>
    <t>130600</t>
  </si>
  <si>
    <t>220101</t>
  </si>
  <si>
    <t>ลูกหนี้เงินยืมเงินงบประมาณ</t>
  </si>
  <si>
    <t>ลูกหนี้เศรษฐกิจชุมชน</t>
  </si>
  <si>
    <t>ลูกหนี้ - ภาษีโรงเรือน</t>
  </si>
  <si>
    <t>ลูกหนี้ - ภาษีบำรุงท้องที่</t>
  </si>
  <si>
    <t>ลูกหนี้ - ภาษีป้าย</t>
  </si>
  <si>
    <t>เงินอุดหนุนเฉพาะกิจ -ด้านพัฒนาชุมชน</t>
  </si>
  <si>
    <t>เงินอุดหนุนเฉพาะกิจ -ด้านการศึกษา</t>
  </si>
  <si>
    <t xml:space="preserve">งบกลาง </t>
  </si>
  <si>
    <t>ลูกหนี้เงินเศรษฐกิจชุมชน</t>
  </si>
  <si>
    <t>ลูกหนี้เงิน- บำรุงท้องที่</t>
  </si>
  <si>
    <t>ภาษีหักหน้าฎีกา</t>
  </si>
  <si>
    <t>120100</t>
  </si>
  <si>
    <t>110604</t>
  </si>
  <si>
    <t>110601</t>
  </si>
  <si>
    <t>110602</t>
  </si>
  <si>
    <t>110603</t>
  </si>
  <si>
    <t>210300</t>
  </si>
  <si>
    <t>14000</t>
  </si>
  <si>
    <t>อำเภอวารินชำราบ       จังหวัดอุบลราชธานี</t>
  </si>
  <si>
    <t xml:space="preserve">            ผู้อำนวยการกองคลัง                                   ปลัดเทศบาลตำบลแสนสุข</t>
  </si>
  <si>
    <t xml:space="preserve">  ( นายทรงกรด  ไกรกังวาร )</t>
  </si>
  <si>
    <t xml:space="preserve">                                        ( นางเพ็ญศรี  ศรีเข้ม )</t>
  </si>
  <si>
    <t xml:space="preserve">                                     ผู้อำนวยการกองคลัง</t>
  </si>
  <si>
    <t xml:space="preserve">                                       ( นายจรูญ  เจือจันทร์ )</t>
  </si>
  <si>
    <t xml:space="preserve">                                   ปลัดเทศบาลตำบลแสนสุข</t>
  </si>
  <si>
    <t xml:space="preserve"> -  ธนาคารออมสิน  ประเภทออมทรัพย์ เลขที่ 020053879175 </t>
  </si>
  <si>
    <t>เงินอุดหนุนเฉพาะกิจ - เบี้ยผู้สูงอายุ</t>
  </si>
  <si>
    <t>เงินอุดหนุนเฉพาะกิจ - เบี้ยผู้พิการ</t>
  </si>
  <si>
    <t>เงินอุดหนุนเฉพาะกิจ - เงินเดือนครู</t>
  </si>
  <si>
    <t>เงินอุดหนุนเฉพาะกิจ - ค่าจ้างชั่วคราว</t>
  </si>
  <si>
    <t>เงินอุดหนุนเฉพาะกิจ - เงินสมทบประกันสังคม</t>
  </si>
  <si>
    <t>เงินอุดหนุนเฉพาะกิจ - ค่าตอบแทน</t>
  </si>
  <si>
    <t xml:space="preserve"> -  ธนาคาร   กรุงไทย ออมทรัพย์   เลขที่  981-1-22177-4</t>
  </si>
  <si>
    <t xml:space="preserve"> -  ธนาคารกรุงไทย กระแสรายวัน เลขที่   981-1-22190-1</t>
  </si>
  <si>
    <t>(ลงชื่อ)……………………………..           (ลงชื่อ).………………………………......</t>
  </si>
  <si>
    <t xml:space="preserve">           ( นางเพ็ญศรี  ศรีเข้ม )                                      ( นายจรูญ  เจือจันทร์ )</t>
  </si>
  <si>
    <t xml:space="preserve">งบทดลอง </t>
  </si>
  <si>
    <t>ทรัพย์สินเกิดจากเงินกู้ ก.ส.ท.</t>
  </si>
  <si>
    <t>.</t>
  </si>
  <si>
    <t>ธนาคารออมสิน</t>
  </si>
  <si>
    <t>งบกลาง (ก)</t>
  </si>
  <si>
    <t>7510000</t>
  </si>
  <si>
    <t>เงินอุดหนุนเฉพาะกิจ - โครงการสนับสนุน คชจ.ในการจัดการศึกษาฯ</t>
  </si>
  <si>
    <t>7531000</t>
  </si>
  <si>
    <t>ค่าใช้สอย (ก)</t>
  </si>
  <si>
    <t>7532000</t>
  </si>
  <si>
    <t>7533000</t>
  </si>
  <si>
    <t>ลูกหนี้เงินขาดบัญชี</t>
  </si>
  <si>
    <t>110607</t>
  </si>
  <si>
    <t>7541000</t>
  </si>
  <si>
    <t>7542000</t>
  </si>
  <si>
    <t xml:space="preserve"> -  ธนาคาร  ธกส. เผื่อเรียก เลขที่  850-2-65453-3</t>
  </si>
  <si>
    <t>เงินเดือน (ก)</t>
  </si>
  <si>
    <t>7520000</t>
  </si>
  <si>
    <t>ค่าจ้างชั่วคราว (ก)</t>
  </si>
  <si>
    <t>ค่าที่ดินและสิ่งก่อสร้าง (ก)</t>
  </si>
  <si>
    <t>210200</t>
  </si>
  <si>
    <t>=</t>
  </si>
  <si>
    <t>รายจ่ายผลัดส่งใบสำคัญ</t>
  </si>
  <si>
    <t xml:space="preserve">                                (ลงชื่อ)………………………………….</t>
  </si>
  <si>
    <t xml:space="preserve">             (ลงชื่อ) ....……………………………</t>
  </si>
  <si>
    <t xml:space="preserve">             (ลงชื่อ) .....……………………………</t>
  </si>
  <si>
    <t xml:space="preserve">             นายกเทศมนตรีตำบลแสนสุข</t>
  </si>
  <si>
    <t xml:space="preserve">                                       ( นายทรงกรด  ไกรกังวาร )</t>
  </si>
  <si>
    <t xml:space="preserve">                                      นายกเทศมนตรีตำบลแสนสุข</t>
  </si>
  <si>
    <t>เงินค่ารักษาพยาบาลจ่ายตรง อปท.</t>
  </si>
  <si>
    <t>เงินประกันสังคมพนักงาน 5 %</t>
  </si>
  <si>
    <t>รายรับ-เงินอุดหนุนเฉพาะกิจเบี้ยยังชีพผู้สูงอายุ</t>
  </si>
  <si>
    <t>เงินหลักประกันซอง</t>
  </si>
  <si>
    <t>ค่าซ่อมแซมรถ</t>
  </si>
  <si>
    <t xml:space="preserve">รายได้เบ็ดเตล็ด </t>
  </si>
  <si>
    <t>เจ้าหนี้ - เงินประกันสังคมหักเกิน</t>
  </si>
  <si>
    <t>เจ้าหนี้ - ประกันสังคมหักเกินบัญชี</t>
  </si>
  <si>
    <t>เงินประกันผลงาน</t>
  </si>
  <si>
    <t>ค่าเช่าหอประชุมโรงเรียนเทศบาลแสนสุข</t>
  </si>
  <si>
    <t>เงินอุดหนุนเฉพาะกิจ - โครงการยาเสพติด</t>
  </si>
  <si>
    <t>เงินอุดหนุนเฉพาะกิจ - โครงการจัดการเรียนการสอน ศพด.</t>
  </si>
  <si>
    <t>เจ้าหนี้ - เงินกู้ กสท.</t>
  </si>
  <si>
    <t>(มิ.ย.57)</t>
  </si>
  <si>
    <t>เงินอุดหนุนทั่วไป - ระบุวัตถุประสงค์</t>
  </si>
  <si>
    <t>โครงการศูนย์พัฒนาคุณภาพชีวิตและส่งเสริมอาชีพผู้สูงอายุ (ครุภัณฑ์)</t>
  </si>
  <si>
    <t>เงินฝากคลังจังหวัด</t>
  </si>
  <si>
    <t>ลุกหนี้เงินขาดบัญชี (เงินสมทบ ปกส.)</t>
  </si>
  <si>
    <t>210400</t>
  </si>
  <si>
    <t>7522000</t>
  </si>
  <si>
    <t>ณ   วันที่  31  ตุลาคม  พ.ศ.   2557</t>
  </si>
  <si>
    <t>ประจำเดือน   31  ตุลาคม  2557</t>
  </si>
  <si>
    <t>ธนาคารออมสิน สาขาสถลมาร์ค</t>
  </si>
  <si>
    <t>นายกเทศมนตรีตำบลแสนสุข</t>
  </si>
  <si>
    <t xml:space="preserve">                            ( นายทรงกรด  ไกรกังวาร )</t>
  </si>
  <si>
    <t>โครงการศูนย์พัฒนาประเทศ (ที่ดินและสิ่งก่อสร้าง)</t>
  </si>
  <si>
    <t>เดือนตุลาคม  2557</t>
  </si>
  <si>
    <t>ปีงบประมาณ     2558</t>
  </si>
  <si>
    <t>ประจำเดือนตุลาคม  2557</t>
  </si>
  <si>
    <t>ประจำเดือนพฤศจิกายน  2557</t>
  </si>
  <si>
    <t>เดือนพฤศจิกายน  2557</t>
  </si>
  <si>
    <t>ณ   วันที่  28  พฤศจิกายน  พ.ศ.   2557</t>
  </si>
  <si>
    <t>ประจำเดือน  28  พฤศจิกายน  2557</t>
  </si>
  <si>
    <t>เงินอุดหนุนทั่วไประบุวัตถุประสงค์ -ด้านพัฒนาชุมชน</t>
  </si>
  <si>
    <t>เงินอุดหนุนทั่วไประบุวัตถุประสงค์ -ด้านการศึกษา</t>
  </si>
  <si>
    <t>ค่าใช้จ่ายในการจัดการศึกษาขั้นพื้นฐาน</t>
  </si>
  <si>
    <t>สนับสนุนการถ่ายโอนบุคลากร-เงินสวัสดิการและบำนาญ</t>
  </si>
  <si>
    <t>สนับสนุนการถ่ายโอนบุคลากร-เงินเดือนข้าราชการครูผู้ดูแลเด็ก</t>
  </si>
  <si>
    <t>เงินค่าจัดการเรียนการสอน ศพด.</t>
  </si>
  <si>
    <t>สนับสนุนศูนย์พัฒนาเด็กเล็ก-เงินเดือนข้าราชการครูผู้ดูแลเด็ก</t>
  </si>
  <si>
    <t>สนับสนุนศูนย์พัฒนาเด็กเล็ก-เงินค่าตอบแทนพนักงานจ้าง ครูผู้ดูแลเด็ก</t>
  </si>
  <si>
    <t>สนับสนุนศูนย์พัฒนาเด็กเล็ก-เงินสมทบประกันสังคม</t>
  </si>
  <si>
    <t>เงินค่าปัจจัยพื้นฐานสำหรับนักเรียนยากจน</t>
  </si>
  <si>
    <t>ค่าใช้จ่ายสำหรับสนับสนุนการสงเคราะห์เบี้ยยังชีพผู้สูงอายุ</t>
  </si>
  <si>
    <t>ค่าใช้จ่ายสำหรับสนับสนุนการสงเคราะห์เบี้ยยังชีพผู้พิการ</t>
  </si>
  <si>
    <t>ณ   วันที่  30  ธันวาคม  พ.ศ.   2557</t>
  </si>
  <si>
    <t>ประจำเดือน  30  ธันวาคม  2557</t>
  </si>
  <si>
    <t>ประจำเดือนธันวาคม  2557</t>
  </si>
  <si>
    <t>เดือนธันวาคม  2557</t>
  </si>
  <si>
    <t>งบกลาง - เบี้ยยังชีพผู้สูงอายุ</t>
  </si>
  <si>
    <t>งบกลาง - เบี้ยยังชีพผู้พิการ</t>
  </si>
  <si>
    <t>เงินอุดหนุนทั่วไประบุวัตถุประสงค์เพื่อพัฒนาประเทศ</t>
  </si>
  <si>
    <t xml:space="preserve">     </t>
  </si>
  <si>
    <t>ณ   วันที่  30  มกราคม  พ.ศ.   2558</t>
  </si>
  <si>
    <t>ประจำเดือนมกราคม  2558</t>
  </si>
  <si>
    <t>เดือนมกราคม  2558</t>
  </si>
  <si>
    <t>ประจำเดือน  30  มกราคม  2558</t>
  </si>
  <si>
    <t>เงินอุดหนุนสำหรับการจัดการศึกษาภาคบังคับ (ค่าเช่าบ้าน)</t>
  </si>
  <si>
    <t>เงินอุดหนุนสำหรับป้องกันและแก้ไขปัญหายาเสพติด(สนามฟุตซอล)</t>
  </si>
  <si>
    <t>เงินรางวัลสำหรับ อปท. ที่มีการบริหารจัดการที่ดี</t>
  </si>
  <si>
    <t>เงินค่าใช้สอย</t>
  </si>
  <si>
    <t>งบกลาง (ก) - เบี้ยยังชีพผู้สูงอายุ+ผู้พิการ (2400+500)</t>
  </si>
  <si>
    <t>(ลงชื่อ)……………………………..                 (ลงชื่อ).………………………………......</t>
  </si>
  <si>
    <t xml:space="preserve">           ( นางเพ็ญศรี  ศรีเข้ม )                                                ( นายเปลี่ยน  แป้นทอง )</t>
  </si>
  <si>
    <t xml:space="preserve">            ผู้อำนวยการกองคลัง                                                หัวหน้าสำนักปลัดเทศบาล</t>
  </si>
  <si>
    <t xml:space="preserve">                                  ( นายทรงกรด  ไกรกังวาร )</t>
  </si>
  <si>
    <t xml:space="preserve">       นายกเทศมนตรีตำบลแสนสุข</t>
  </si>
  <si>
    <t xml:space="preserve">                                                                        รักษาราชการแทนปลัดเทศบาลตำบลแสนสุข</t>
  </si>
  <si>
    <t xml:space="preserve">                                    ( นายทรงกรด  ไกรกังวาร )</t>
  </si>
  <si>
    <t xml:space="preserve">            นายกเทศมนตรีตำบลแสนสุข</t>
  </si>
  <si>
    <t>( นายเปลี่ยน  แป้นทอง )</t>
  </si>
  <si>
    <t>หัวหน้าสำนักปลัดเทศบาล</t>
  </si>
  <si>
    <t xml:space="preserve">         รักษาราชการแทนปลัดเทศบาลตำบลแสนสุข</t>
  </si>
  <si>
    <t xml:space="preserve">                                       ( นายเปลี่ยน  แป้นทอง )</t>
  </si>
  <si>
    <t xml:space="preserve">                                        หัวหน้าสำนักปลัดเทศบาล</t>
  </si>
  <si>
    <t xml:space="preserve">        รักษาราชการแทน ปลัดเทศบาลตำบลแสนสุข</t>
  </si>
  <si>
    <t>ณ   วันที่  28  กุมภาพันธ์  พ.ศ.   2558</t>
  </si>
  <si>
    <t>ประจำเดือนกุมภาพันธ์  2558</t>
  </si>
  <si>
    <t>เดือนกุมภาพันธ์  2558</t>
  </si>
  <si>
    <t>ประจำเดือน  28  กุมภาพัน์  2558</t>
  </si>
  <si>
    <t>ณ   วันที่   กุมภาพันธ์  พ.ศ.   2558</t>
  </si>
  <si>
    <t>เงินค่าตอบแทน จนท.สหกรณ์ออมทรัพย์ พนง.</t>
  </si>
  <si>
    <t>เงินปันผลสหกรณ์ออมทรัพย์ พนง.</t>
  </si>
  <si>
    <t>เงินค่าภาษีโรงเรือนและที่ดิน</t>
  </si>
  <si>
    <t>สหกรณ์ ออมทรัพย์กระทรวงมหาดไทย</t>
  </si>
  <si>
    <t>งบกลาง (ก) - เบี้ยยังชีพผู้สูงอายุ+ผู้พิการ (1300+800)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</si>
</sst>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b/>
      <sz val="12"/>
      <color indexed="8"/>
      <name val="Angsana New"/>
      <family val="1"/>
    </font>
    <font>
      <b/>
      <sz val="14"/>
      <name val="Cordia New"/>
      <family val="2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.2"/>
      <name val="Angsana New"/>
      <family val="1"/>
    </font>
    <font>
      <b/>
      <sz val="16.5"/>
      <name val="Angsana New"/>
      <family val="1"/>
    </font>
    <font>
      <sz val="16.5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.5"/>
      <color rgb="FFFF0000"/>
      <name val="Angsana New"/>
      <family val="1"/>
    </font>
    <font>
      <sz val="16.2"/>
      <name val="Angsana New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</cellStyleXfs>
  <cellXfs count="212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49" fontId="4" fillId="0" borderId="8" xfId="0" applyNumberFormat="1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4" fillId="0" borderId="0" xfId="0" applyFont="1" applyBorder="1"/>
    <xf numFmtId="43" fontId="4" fillId="0" borderId="0" xfId="0" applyNumberFormat="1" applyFont="1"/>
    <xf numFmtId="43" fontId="4" fillId="0" borderId="3" xfId="1" applyFont="1" applyBorder="1"/>
    <xf numFmtId="43" fontId="3" fillId="0" borderId="0" xfId="1" applyFont="1"/>
    <xf numFmtId="164" fontId="4" fillId="0" borderId="0" xfId="0" applyNumberFormat="1" applyFont="1"/>
    <xf numFmtId="164" fontId="4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Fill="1"/>
    <xf numFmtId="43" fontId="4" fillId="0" borderId="0" xfId="1" applyFont="1"/>
    <xf numFmtId="43" fontId="3" fillId="0" borderId="5" xfId="1" applyFont="1" applyBorder="1"/>
    <xf numFmtId="0" fontId="4" fillId="0" borderId="3" xfId="0" applyFont="1" applyBorder="1"/>
    <xf numFmtId="0" fontId="3" fillId="0" borderId="0" xfId="0" applyFont="1" applyFill="1"/>
    <xf numFmtId="0" fontId="4" fillId="0" borderId="17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3" fontId="4" fillId="0" borderId="0" xfId="1" applyFont="1" applyFill="1"/>
    <xf numFmtId="43" fontId="4" fillId="0" borderId="3" xfId="1" applyFont="1" applyFill="1" applyBorder="1"/>
    <xf numFmtId="0" fontId="4" fillId="0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43" fontId="4" fillId="0" borderId="4" xfId="1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0" xfId="0" applyNumberFormat="1" applyFont="1" applyFill="1" applyBorder="1"/>
    <xf numFmtId="43" fontId="4" fillId="0" borderId="0" xfId="0" applyNumberFormat="1" applyFont="1" applyFill="1"/>
    <xf numFmtId="43" fontId="4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43" fontId="3" fillId="0" borderId="5" xfId="1" applyFont="1" applyBorder="1" applyAlignment="1">
      <alignment horizontal="center"/>
    </xf>
    <xf numFmtId="0" fontId="3" fillId="0" borderId="21" xfId="0" applyFont="1" applyBorder="1"/>
    <xf numFmtId="0" fontId="4" fillId="0" borderId="22" xfId="0" applyFont="1" applyBorder="1"/>
    <xf numFmtId="49" fontId="4" fillId="0" borderId="4" xfId="0" applyNumberFormat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0" xfId="0" applyNumberFormat="1" applyFont="1"/>
    <xf numFmtId="49" fontId="7" fillId="0" borderId="4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2" xfId="0" applyFont="1" applyBorder="1"/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43" fontId="4" fillId="0" borderId="17" xfId="1" applyFont="1" applyBorder="1"/>
    <xf numFmtId="0" fontId="3" fillId="0" borderId="18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49" fontId="9" fillId="0" borderId="0" xfId="0" applyNumberFormat="1" applyFont="1" applyBorder="1" applyAlignment="1">
      <alignment horizontal="center"/>
    </xf>
    <xf numFmtId="43" fontId="3" fillId="0" borderId="18" xfId="1" applyFont="1" applyBorder="1"/>
    <xf numFmtId="0" fontId="3" fillId="0" borderId="2" xfId="0" applyFont="1" applyFill="1" applyBorder="1"/>
    <xf numFmtId="164" fontId="3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 applyFill="1"/>
    <xf numFmtId="0" fontId="10" fillId="0" borderId="0" xfId="0" applyFont="1"/>
    <xf numFmtId="0" fontId="3" fillId="0" borderId="19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3" fontId="3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7" xfId="1" applyNumberFormat="1" applyFont="1" applyFill="1" applyBorder="1" applyAlignment="1">
      <alignment horizontal="center"/>
    </xf>
    <xf numFmtId="164" fontId="4" fillId="2" borderId="0" xfId="0" applyNumberFormat="1" applyFont="1" applyFill="1"/>
    <xf numFmtId="164" fontId="10" fillId="0" borderId="0" xfId="0" applyNumberFormat="1" applyFont="1"/>
    <xf numFmtId="0" fontId="12" fillId="0" borderId="0" xfId="0" applyFont="1"/>
    <xf numFmtId="43" fontId="4" fillId="0" borderId="0" xfId="0" applyNumberFormat="1" applyFont="1" applyFill="1" applyAlignment="1"/>
    <xf numFmtId="0" fontId="4" fillId="0" borderId="1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3" borderId="0" xfId="0" applyNumberFormat="1" applyFont="1" applyFill="1"/>
    <xf numFmtId="43" fontId="3" fillId="0" borderId="0" xfId="1" applyFont="1" applyFill="1"/>
    <xf numFmtId="43" fontId="10" fillId="0" borderId="0" xfId="1" applyFont="1" applyFill="1"/>
    <xf numFmtId="0" fontId="10" fillId="0" borderId="0" xfId="0" applyFont="1" applyFill="1"/>
    <xf numFmtId="49" fontId="10" fillId="0" borderId="2" xfId="0" applyNumberFormat="1" applyFont="1" applyFill="1" applyBorder="1" applyAlignment="1">
      <alignment horizontal="center"/>
    </xf>
    <xf numFmtId="43" fontId="4" fillId="2" borderId="0" xfId="1" applyFont="1" applyFill="1"/>
    <xf numFmtId="0" fontId="4" fillId="0" borderId="0" xfId="0" applyNumberFormat="1" applyFont="1" applyFill="1"/>
    <xf numFmtId="0" fontId="3" fillId="0" borderId="0" xfId="0" applyFont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9" xfId="0" applyFont="1" applyFill="1" applyBorder="1"/>
    <xf numFmtId="43" fontId="4" fillId="0" borderId="8" xfId="1" applyFont="1" applyFill="1" applyBorder="1" applyAlignment="1">
      <alignment horizontal="center"/>
    </xf>
    <xf numFmtId="43" fontId="4" fillId="0" borderId="8" xfId="1" applyFont="1" applyFill="1" applyBorder="1"/>
    <xf numFmtId="164" fontId="4" fillId="0" borderId="9" xfId="0" applyNumberFormat="1" applyFont="1" applyFill="1" applyBorder="1"/>
    <xf numFmtId="43" fontId="4" fillId="0" borderId="1" xfId="1" applyFont="1" applyFill="1" applyBorder="1"/>
    <xf numFmtId="0" fontId="4" fillId="0" borderId="11" xfId="0" applyFont="1" applyFill="1" applyBorder="1"/>
    <xf numFmtId="164" fontId="4" fillId="0" borderId="4" xfId="1" applyNumberFormat="1" applyFont="1" applyFill="1" applyBorder="1"/>
    <xf numFmtId="0" fontId="4" fillId="0" borderId="4" xfId="0" applyFont="1" applyFill="1" applyBorder="1"/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9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/>
    </xf>
    <xf numFmtId="43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165" fontId="9" fillId="0" borderId="0" xfId="1" applyNumberFormat="1" applyFont="1" applyAlignment="1">
      <alignment horizontal="center"/>
    </xf>
    <xf numFmtId="43" fontId="11" fillId="0" borderId="8" xfId="1" applyFont="1" applyBorder="1" applyAlignment="1">
      <alignment horizontal="center"/>
    </xf>
    <xf numFmtId="43" fontId="11" fillId="0" borderId="9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3" fontId="6" fillId="0" borderId="24" xfId="1" applyFont="1" applyBorder="1" applyAlignment="1">
      <alignment horizontal="center"/>
    </xf>
    <xf numFmtId="43" fontId="6" fillId="0" borderId="25" xfId="1" applyFont="1" applyBorder="1" applyAlignment="1">
      <alignment horizontal="center"/>
    </xf>
    <xf numFmtId="43" fontId="6" fillId="0" borderId="33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43" fontId="4" fillId="0" borderId="13" xfId="1" applyNumberFormat="1" applyFont="1" applyFill="1" applyBorder="1" applyAlignment="1">
      <alignment horizontal="center"/>
    </xf>
    <xf numFmtId="43" fontId="4" fillId="0" borderId="15" xfId="1" applyNumberFormat="1" applyFont="1" applyFill="1" applyBorder="1" applyAlignment="1">
      <alignment horizontal="center"/>
    </xf>
    <xf numFmtId="43" fontId="4" fillId="0" borderId="8" xfId="1" applyNumberFormat="1" applyFont="1" applyFill="1" applyBorder="1" applyAlignment="1">
      <alignment horizontal="center"/>
    </xf>
    <xf numFmtId="43" fontId="4" fillId="0" borderId="9" xfId="1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5" xfId="1" applyNumberFormat="1" applyFont="1" applyFill="1" applyBorder="1" applyAlignment="1">
      <alignment horizontal="center"/>
    </xf>
    <xf numFmtId="43" fontId="3" fillId="0" borderId="8" xfId="1" applyNumberFormat="1" applyFont="1" applyFill="1" applyBorder="1" applyAlignment="1">
      <alignment horizontal="center"/>
    </xf>
    <xf numFmtId="43" fontId="3" fillId="0" borderId="9" xfId="1" applyNumberFormat="1" applyFont="1" applyFill="1" applyBorder="1" applyAlignment="1">
      <alignment horizontal="center"/>
    </xf>
    <xf numFmtId="43" fontId="3" fillId="0" borderId="20" xfId="1" applyNumberFormat="1" applyFont="1" applyBorder="1" applyAlignment="1">
      <alignment horizontal="center"/>
    </xf>
    <xf numFmtId="43" fontId="3" fillId="0" borderId="21" xfId="1" applyNumberFormat="1" applyFont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43" fontId="4" fillId="0" borderId="31" xfId="1" applyNumberFormat="1" applyFont="1" applyFill="1" applyBorder="1" applyAlignment="1">
      <alignment horizontal="center"/>
    </xf>
    <xf numFmtId="43" fontId="4" fillId="0" borderId="8" xfId="1" applyNumberFormat="1" applyFont="1" applyBorder="1" applyAlignment="1">
      <alignment horizontal="center"/>
    </xf>
    <xf numFmtId="43" fontId="4" fillId="0" borderId="9" xfId="1" applyNumberFormat="1" applyFont="1" applyBorder="1" applyAlignment="1">
      <alignment horizontal="center"/>
    </xf>
    <xf numFmtId="43" fontId="3" fillId="0" borderId="30" xfId="1" applyNumberFormat="1" applyFont="1" applyBorder="1" applyAlignment="1">
      <alignment horizontal="center"/>
    </xf>
    <xf numFmtId="43" fontId="3" fillId="0" borderId="3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20" xfId="1" applyNumberFormat="1" applyFont="1" applyBorder="1" applyAlignment="1">
      <alignment horizontal="center"/>
    </xf>
    <xf numFmtId="43" fontId="4" fillId="0" borderId="21" xfId="1" applyNumberFormat="1" applyFont="1" applyBorder="1" applyAlignment="1">
      <alignment horizontal="center"/>
    </xf>
    <xf numFmtId="43" fontId="4" fillId="0" borderId="13" xfId="1" applyNumberFormat="1" applyFont="1" applyBorder="1" applyAlignment="1">
      <alignment horizontal="center"/>
    </xf>
    <xf numFmtId="43" fontId="4" fillId="0" borderId="15" xfId="1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20" xfId="1" applyNumberFormat="1" applyFont="1" applyFill="1" applyBorder="1" applyAlignment="1">
      <alignment horizontal="center"/>
    </xf>
    <xf numFmtId="43" fontId="3" fillId="0" borderId="21" xfId="1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ปกติ 2" xfId="3"/>
    <cellStyle name="ปกติ_งบทดลอง 2552  (แอ้ว)" xfId="2"/>
  </cellStyles>
  <dxfs count="0"/>
  <tableStyles count="0" defaultTableStyle="TableStyleMedium9" defaultPivotStyle="PivotStyleLight16"/>
  <colors>
    <mruColors>
      <color rgb="FFE70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7" name="Line 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58" name="Line 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9" name="Line 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0" name="Line 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1" name="Line 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2" name="Line 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3" name="Line 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4" name="Line 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5" name="Line 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6" name="Line 1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7" name="Line 1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8" name="Line 1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9" name="Line 1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0" name="Line 1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1" name="Line 1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2" name="Line 1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3" name="Line 1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4" name="Line 2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5" name="Line 2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6" name="Line 2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7" name="Line 2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8" name="Line 2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9" name="Line 2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0" name="Line 2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1" name="Line 2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2" name="Line 2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3" name="Line 2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4" name="Line 3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5" name="Line 3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6" name="Line 3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7" name="Line 3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8" name="Line 3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9" name="Line 3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0" name="Line 3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1" name="Line 3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2" name="Line 3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3" name="Line 3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4" name="Line 4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5" name="Line 4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6" name="Line 4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7" name="Line 4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8" name="Line 4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9" name="Line 4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0" name="Line 4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1" name="Line 4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2" name="Line 4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3" name="Line 4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4" name="Line 5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5" name="Line 5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6" name="Line 5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7" name="Line 5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8" name="Line 5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9" name="Line 5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0" name="Line 5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1" name="Line 5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2" name="Line 5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3" name="Line 5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4" name="Line 6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5" name="Line 6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6" name="Line 6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7" name="Line 6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8" name="Line 6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9" name="Line 6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0" name="Line 6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1" name="Line 6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2" name="Line 6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3" name="Line 6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4" name="Line 7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5" name="Line 7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6" name="Line 7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7" name="Line 7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8" name="Line 7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9" name="Line 7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0" name="Line 7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1" name="Line 7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2" name="Line 7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3" name="Line 7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4" name="Line 8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5" name="Line 8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6" name="Line 8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7" name="Line 8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8" name="Line 8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9" name="Line 8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0" name="Line 8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1" name="Line 8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2" name="Line 8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3" name="Line 8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4" name="Line 9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1104900</xdr:colOff>
      <xdr:row>0</xdr:row>
      <xdr:rowOff>0</xdr:rowOff>
    </xdr:from>
    <xdr:to>
      <xdr:col>3</xdr:col>
      <xdr:colOff>1104900</xdr:colOff>
      <xdr:row>0</xdr:row>
      <xdr:rowOff>0</xdr:rowOff>
    </xdr:to>
    <xdr:cxnSp macro="">
      <xdr:nvCxnSpPr>
        <xdr:cNvPr id="366853" name="ตัวเชื่อมต่อตรง 118"/>
        <xdr:cNvCxnSpPr>
          <a:cxnSpLocks noChangeShapeType="1"/>
        </xdr:cNvCxnSpPr>
      </xdr:nvCxnSpPr>
      <xdr:spPr bwMode="auto">
        <a:xfrm rot="5400000">
          <a:off x="-1938338" y="52906613"/>
          <a:ext cx="829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cxnSp macro="">
      <xdr:nvCxnSpPr>
        <xdr:cNvPr id="366854" name="ตัวเชื่อมต่อตรง 120"/>
        <xdr:cNvCxnSpPr>
          <a:cxnSpLocks noChangeShapeType="1"/>
        </xdr:cNvCxnSpPr>
      </xdr:nvCxnSpPr>
      <xdr:spPr bwMode="auto">
        <a:xfrm rot="5400000">
          <a:off x="-1785938" y="52735163"/>
          <a:ext cx="7991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09BD"/>
  </sheetPr>
  <dimension ref="A1:I312"/>
  <sheetViews>
    <sheetView view="pageBreakPreview" topLeftCell="A271" zoomScale="110" zoomScaleSheetLayoutView="110" workbookViewId="0">
      <selection activeCell="C283" sqref="C283:D283"/>
    </sheetView>
  </sheetViews>
  <sheetFormatPr defaultRowHeight="24" x14ac:dyDescent="0.5"/>
  <cols>
    <col min="1" max="1" width="82.19921875" style="45" customWidth="1"/>
    <col min="2" max="2" width="25.796875" style="45" customWidth="1"/>
    <col min="3" max="3" width="13.19921875" style="45" customWidth="1"/>
    <col min="4" max="4" width="25" style="45" customWidth="1"/>
    <col min="5" max="5" width="13.19921875" style="45" customWidth="1"/>
    <col min="6" max="6" width="27" style="45" customWidth="1"/>
    <col min="7" max="7" width="22.59765625" style="45" customWidth="1"/>
    <col min="8" max="8" width="20.19921875" style="46" bestFit="1" customWidth="1"/>
    <col min="9" max="9" width="20.19921875" style="45" bestFit="1" customWidth="1"/>
    <col min="10" max="16384" width="9.59765625" style="45"/>
  </cols>
  <sheetData>
    <row r="1" spans="1:9" x14ac:dyDescent="0.5">
      <c r="A1" s="154" t="s">
        <v>94</v>
      </c>
      <c r="B1" s="154"/>
      <c r="C1" s="154"/>
      <c r="D1" s="154"/>
      <c r="E1" s="154"/>
      <c r="F1" s="154"/>
    </row>
    <row r="2" spans="1:9" x14ac:dyDescent="0.5">
      <c r="A2" s="154" t="s">
        <v>164</v>
      </c>
      <c r="B2" s="154"/>
      <c r="C2" s="154"/>
      <c r="D2" s="154"/>
      <c r="E2" s="154"/>
      <c r="F2" s="154"/>
    </row>
    <row r="3" spans="1:9" ht="24.75" thickBot="1" x14ac:dyDescent="0.55000000000000004">
      <c r="A3" s="155" t="s">
        <v>213</v>
      </c>
      <c r="B3" s="155"/>
      <c r="C3" s="155"/>
      <c r="D3" s="155"/>
      <c r="E3" s="155"/>
      <c r="F3" s="155"/>
    </row>
    <row r="4" spans="1:9" x14ac:dyDescent="0.5">
      <c r="A4" s="156" t="s">
        <v>75</v>
      </c>
      <c r="B4" s="150" t="s">
        <v>1</v>
      </c>
      <c r="C4" s="150" t="s">
        <v>2</v>
      </c>
      <c r="D4" s="150"/>
      <c r="E4" s="150" t="s">
        <v>3</v>
      </c>
      <c r="F4" s="152"/>
    </row>
    <row r="5" spans="1:9" ht="14.25" customHeight="1" thickBot="1" x14ac:dyDescent="0.55000000000000004">
      <c r="A5" s="157"/>
      <c r="B5" s="151"/>
      <c r="C5" s="151"/>
      <c r="D5" s="151"/>
      <c r="E5" s="151"/>
      <c r="F5" s="153"/>
    </row>
    <row r="6" spans="1:9" ht="24.75" thickTop="1" x14ac:dyDescent="0.5">
      <c r="A6" s="51" t="s">
        <v>58</v>
      </c>
      <c r="B6" s="48"/>
      <c r="C6" s="145"/>
      <c r="D6" s="147"/>
      <c r="E6" s="145"/>
      <c r="F6" s="146"/>
      <c r="H6" s="145"/>
      <c r="I6" s="147"/>
    </row>
    <row r="7" spans="1:9" x14ac:dyDescent="0.5">
      <c r="A7" s="51" t="s">
        <v>106</v>
      </c>
      <c r="B7" s="48" t="s">
        <v>87</v>
      </c>
      <c r="C7" s="145">
        <f>7150527.83-2258916.75</f>
        <v>4891611.08</v>
      </c>
      <c r="D7" s="147"/>
      <c r="E7" s="145"/>
      <c r="F7" s="146"/>
      <c r="G7" s="47">
        <f>4891610.96-C7</f>
        <v>-0.12000000011175871</v>
      </c>
      <c r="H7" s="145">
        <f>12854054.56-1429320+5827042.91+792+3887002.17+6175447.42-3479805-8366277.1+94218.97+7186512.98-1917381-1708020.11</f>
        <v>19124267.800000004</v>
      </c>
      <c r="I7" s="147"/>
    </row>
    <row r="8" spans="1:9" x14ac:dyDescent="0.5">
      <c r="A8" s="51" t="s">
        <v>118</v>
      </c>
      <c r="B8" s="48" t="s">
        <v>90</v>
      </c>
      <c r="C8" s="164">
        <f>7963831.42-805285.02-1491321-3518404.5</f>
        <v>2148820.9000000004</v>
      </c>
      <c r="D8" s="165"/>
      <c r="E8" s="145"/>
      <c r="F8" s="146"/>
      <c r="H8" s="164">
        <f>6872759.48-6036730.48+7165906.84-846029-6825262.27-330644.57</f>
        <v>0</v>
      </c>
      <c r="I8" s="165"/>
    </row>
    <row r="9" spans="1:9" x14ac:dyDescent="0.5">
      <c r="A9" s="51" t="s">
        <v>160</v>
      </c>
      <c r="B9" s="48" t="s">
        <v>87</v>
      </c>
      <c r="C9" s="145">
        <f>6629798.42+124726.65</f>
        <v>6754525.0700000003</v>
      </c>
      <c r="D9" s="147"/>
      <c r="E9" s="145"/>
      <c r="F9" s="146"/>
      <c r="G9" s="45">
        <f>8361-5342</f>
        <v>3019</v>
      </c>
      <c r="H9" s="145">
        <f>5000000+10000</f>
        <v>5010000</v>
      </c>
      <c r="I9" s="147"/>
    </row>
    <row r="10" spans="1:9" x14ac:dyDescent="0.5">
      <c r="A10" s="51" t="s">
        <v>161</v>
      </c>
      <c r="B10" s="48" t="s">
        <v>90</v>
      </c>
      <c r="C10" s="164">
        <v>0</v>
      </c>
      <c r="D10" s="165"/>
      <c r="E10" s="145"/>
      <c r="F10" s="146"/>
      <c r="H10" s="164">
        <v>0</v>
      </c>
      <c r="I10" s="165"/>
    </row>
    <row r="11" spans="1:9" x14ac:dyDescent="0.5">
      <c r="A11" s="51" t="s">
        <v>107</v>
      </c>
      <c r="B11" s="48" t="s">
        <v>87</v>
      </c>
      <c r="C11" s="164">
        <f>17390826.46+684966.82-4366128.77+805285.02+1491321+3518404.5</f>
        <v>19524675.030000001</v>
      </c>
      <c r="D11" s="165"/>
      <c r="E11" s="145"/>
      <c r="F11" s="146"/>
      <c r="G11" s="64">
        <f>C13-1658162.53</f>
        <v>92054.270000000019</v>
      </c>
      <c r="H11" s="164" t="e">
        <f>#REF!+381708.41-7851201.65-5010000+846029+6825262.27+330644.57+155000-97417.41</f>
        <v>#REF!</v>
      </c>
      <c r="I11" s="165"/>
    </row>
    <row r="12" spans="1:9" x14ac:dyDescent="0.5">
      <c r="A12" s="51" t="s">
        <v>108</v>
      </c>
      <c r="B12" s="48" t="s">
        <v>87</v>
      </c>
      <c r="C12" s="145">
        <f>1171950.83-1569.61+2642.11-0.12</f>
        <v>1173023.21</v>
      </c>
      <c r="D12" s="147"/>
      <c r="E12" s="145"/>
      <c r="F12" s="146"/>
      <c r="H12" s="145">
        <f>3305907.96-150000-370000-33760-132600+9668.53-9668.53</f>
        <v>2619547.96</v>
      </c>
      <c r="I12" s="147"/>
    </row>
    <row r="13" spans="1:9" x14ac:dyDescent="0.5">
      <c r="A13" s="51" t="s">
        <v>179</v>
      </c>
      <c r="B13" s="48" t="s">
        <v>87</v>
      </c>
      <c r="C13" s="145">
        <v>1750216.8</v>
      </c>
      <c r="D13" s="147"/>
      <c r="E13" s="145"/>
      <c r="F13" s="146"/>
      <c r="G13" s="47">
        <f>C7+C8+C9+C11+C12+C13+C14+C15</f>
        <v>76495547.959999993</v>
      </c>
      <c r="H13" s="145">
        <f>1622850.09+16000+14000+5312.44-5312.44</f>
        <v>1652850.09</v>
      </c>
      <c r="I13" s="147"/>
    </row>
    <row r="14" spans="1:9" x14ac:dyDescent="0.5">
      <c r="A14" s="51" t="s">
        <v>109</v>
      </c>
      <c r="B14" s="48" t="s">
        <v>88</v>
      </c>
      <c r="C14" s="145">
        <v>35151610.009999998</v>
      </c>
      <c r="D14" s="147"/>
      <c r="E14" s="145"/>
      <c r="F14" s="146"/>
      <c r="G14" s="64">
        <f>G13-76458007.33</f>
        <v>37540.629999995232</v>
      </c>
      <c r="H14" s="145">
        <f>5000000+172356.18</f>
        <v>5172356.18</v>
      </c>
      <c r="I14" s="147"/>
    </row>
    <row r="15" spans="1:9" x14ac:dyDescent="0.5">
      <c r="A15" s="51" t="s">
        <v>153</v>
      </c>
      <c r="B15" s="48" t="s">
        <v>88</v>
      </c>
      <c r="C15" s="145">
        <v>5101065.8600000003</v>
      </c>
      <c r="D15" s="147"/>
      <c r="E15" s="145"/>
      <c r="F15" s="146"/>
      <c r="H15" s="145" t="e">
        <f>#REF!</f>
        <v>#REF!</v>
      </c>
      <c r="I15" s="147"/>
    </row>
    <row r="16" spans="1:9" s="8" customFormat="1" ht="23.25" x14ac:dyDescent="0.5">
      <c r="A16" s="43" t="s">
        <v>114</v>
      </c>
      <c r="B16" s="44" t="s">
        <v>139</v>
      </c>
      <c r="C16" s="161">
        <v>166839</v>
      </c>
      <c r="D16" s="163"/>
      <c r="E16" s="161"/>
      <c r="F16" s="162"/>
    </row>
    <row r="17" spans="1:8" x14ac:dyDescent="0.5">
      <c r="A17" s="51" t="s">
        <v>111</v>
      </c>
      <c r="B17" s="48" t="s">
        <v>125</v>
      </c>
      <c r="C17" s="145">
        <v>11887914.48</v>
      </c>
      <c r="D17" s="147"/>
      <c r="E17" s="145"/>
      <c r="F17" s="146"/>
    </row>
    <row r="18" spans="1:8" x14ac:dyDescent="0.5">
      <c r="A18" s="51" t="s">
        <v>115</v>
      </c>
      <c r="B18" s="48" t="s">
        <v>126</v>
      </c>
      <c r="C18" s="145">
        <v>81353788.239999995</v>
      </c>
      <c r="D18" s="147"/>
      <c r="E18" s="145"/>
      <c r="F18" s="146"/>
    </row>
    <row r="19" spans="1:8" x14ac:dyDescent="0.5">
      <c r="A19" s="51" t="s">
        <v>128</v>
      </c>
      <c r="B19" s="48" t="s">
        <v>60</v>
      </c>
      <c r="C19" s="145">
        <f>2226+89800-2226</f>
        <v>89800</v>
      </c>
      <c r="D19" s="147"/>
      <c r="E19" s="145"/>
      <c r="F19" s="146"/>
    </row>
    <row r="20" spans="1:8" x14ac:dyDescent="0.5">
      <c r="A20" s="51" t="s">
        <v>55</v>
      </c>
      <c r="B20" s="48" t="s">
        <v>59</v>
      </c>
      <c r="C20" s="145">
        <f>1722730-1400</f>
        <v>1721330</v>
      </c>
      <c r="D20" s="147"/>
      <c r="E20" s="145"/>
      <c r="F20" s="146"/>
    </row>
    <row r="21" spans="1:8" x14ac:dyDescent="0.5">
      <c r="A21" s="51" t="s">
        <v>129</v>
      </c>
      <c r="B21" s="48" t="s">
        <v>140</v>
      </c>
      <c r="C21" s="145">
        <f>219700-1750</f>
        <v>217950</v>
      </c>
      <c r="D21" s="147"/>
      <c r="E21" s="145"/>
      <c r="F21" s="146"/>
    </row>
    <row r="22" spans="1:8" x14ac:dyDescent="0.5">
      <c r="A22" s="51" t="s">
        <v>175</v>
      </c>
      <c r="B22" s="48" t="s">
        <v>176</v>
      </c>
      <c r="C22" s="145"/>
      <c r="D22" s="147"/>
      <c r="E22" s="145"/>
      <c r="F22" s="146"/>
    </row>
    <row r="23" spans="1:8" x14ac:dyDescent="0.5">
      <c r="A23" s="51" t="s">
        <v>55</v>
      </c>
      <c r="B23" s="48" t="s">
        <v>59</v>
      </c>
      <c r="C23" s="145"/>
      <c r="D23" s="147"/>
      <c r="E23" s="145"/>
      <c r="F23" s="146"/>
    </row>
    <row r="24" spans="1:8" x14ac:dyDescent="0.5">
      <c r="A24" s="51" t="s">
        <v>130</v>
      </c>
      <c r="B24" s="48" t="s">
        <v>141</v>
      </c>
      <c r="C24" s="145">
        <f>494187-315960</f>
        <v>178227</v>
      </c>
      <c r="D24" s="147"/>
      <c r="E24" s="145"/>
      <c r="F24" s="146"/>
      <c r="G24" s="47">
        <f>C24+C25+C26</f>
        <v>232890.05</v>
      </c>
    </row>
    <row r="25" spans="1:8" x14ac:dyDescent="0.5">
      <c r="A25" s="51" t="s">
        <v>131</v>
      </c>
      <c r="B25" s="48" t="s">
        <v>142</v>
      </c>
      <c r="C25" s="145">
        <f>20195.1-9442.05</f>
        <v>10753.05</v>
      </c>
      <c r="D25" s="147"/>
      <c r="E25" s="145"/>
      <c r="F25" s="146"/>
    </row>
    <row r="26" spans="1:8" x14ac:dyDescent="0.5">
      <c r="A26" s="51" t="s">
        <v>132</v>
      </c>
      <c r="B26" s="48" t="s">
        <v>143</v>
      </c>
      <c r="C26" s="145">
        <f>48310-4400</f>
        <v>43910</v>
      </c>
      <c r="D26" s="147"/>
      <c r="E26" s="145"/>
      <c r="F26" s="146"/>
    </row>
    <row r="27" spans="1:8" s="8" customFormat="1" x14ac:dyDescent="0.5">
      <c r="A27" s="51" t="s">
        <v>12</v>
      </c>
      <c r="B27" s="48" t="s">
        <v>61</v>
      </c>
      <c r="C27" s="145"/>
      <c r="D27" s="147"/>
      <c r="E27" s="145"/>
      <c r="F27" s="146"/>
      <c r="H27" s="19"/>
    </row>
    <row r="28" spans="1:8" s="8" customFormat="1" x14ac:dyDescent="0.5">
      <c r="A28" s="51" t="s">
        <v>4</v>
      </c>
      <c r="B28" s="48" t="s">
        <v>62</v>
      </c>
      <c r="C28" s="145">
        <f>939520</f>
        <v>939520</v>
      </c>
      <c r="D28" s="147"/>
      <c r="E28" s="145"/>
      <c r="F28" s="146"/>
      <c r="H28" s="19"/>
    </row>
    <row r="29" spans="1:8" x14ac:dyDescent="0.5">
      <c r="A29" s="51" t="s">
        <v>5</v>
      </c>
      <c r="B29" s="48" t="s">
        <v>62</v>
      </c>
      <c r="C29" s="145">
        <v>616045</v>
      </c>
      <c r="D29" s="147"/>
      <c r="E29" s="145"/>
      <c r="F29" s="146"/>
    </row>
    <row r="30" spans="1:8" x14ac:dyDescent="0.5">
      <c r="A30" s="51" t="s">
        <v>6</v>
      </c>
      <c r="B30" s="48" t="s">
        <v>63</v>
      </c>
      <c r="C30" s="145">
        <f>9500</f>
        <v>9500</v>
      </c>
      <c r="D30" s="147"/>
      <c r="E30" s="145"/>
      <c r="F30" s="146"/>
    </row>
    <row r="31" spans="1:8" x14ac:dyDescent="0.5">
      <c r="A31" s="51" t="s">
        <v>7</v>
      </c>
      <c r="B31" s="48" t="s">
        <v>64</v>
      </c>
      <c r="C31" s="145">
        <f>537760</f>
        <v>537760</v>
      </c>
      <c r="D31" s="147"/>
      <c r="E31" s="145"/>
      <c r="F31" s="146"/>
    </row>
    <row r="32" spans="1:8" x14ac:dyDescent="0.5">
      <c r="A32" s="51" t="s">
        <v>8</v>
      </c>
      <c r="B32" s="48" t="s">
        <v>65</v>
      </c>
      <c r="C32" s="145">
        <v>12000</v>
      </c>
      <c r="D32" s="147"/>
      <c r="E32" s="145"/>
      <c r="F32" s="146"/>
    </row>
    <row r="33" spans="1:7" x14ac:dyDescent="0.5">
      <c r="A33" s="51" t="s">
        <v>9</v>
      </c>
      <c r="B33" s="48" t="s">
        <v>66</v>
      </c>
      <c r="C33" s="145">
        <v>123700.33</v>
      </c>
      <c r="D33" s="147"/>
      <c r="E33" s="145"/>
      <c r="F33" s="146"/>
    </row>
    <row r="34" spans="1:7" x14ac:dyDescent="0.5">
      <c r="A34" s="51" t="s">
        <v>10</v>
      </c>
      <c r="B34" s="48" t="s">
        <v>68</v>
      </c>
      <c r="C34" s="145"/>
      <c r="D34" s="147"/>
      <c r="E34" s="145"/>
      <c r="F34" s="146"/>
    </row>
    <row r="35" spans="1:7" x14ac:dyDescent="0.5">
      <c r="A35" s="51" t="s">
        <v>11</v>
      </c>
      <c r="B35" s="48" t="s">
        <v>69</v>
      </c>
      <c r="C35" s="145"/>
      <c r="D35" s="147"/>
      <c r="E35" s="145"/>
      <c r="F35" s="146"/>
    </row>
    <row r="36" spans="1:7" x14ac:dyDescent="0.5">
      <c r="A36" s="51" t="s">
        <v>13</v>
      </c>
      <c r="B36" s="48" t="s">
        <v>67</v>
      </c>
      <c r="C36" s="164"/>
      <c r="D36" s="165"/>
      <c r="E36" s="145"/>
      <c r="F36" s="146"/>
    </row>
    <row r="37" spans="1:7" x14ac:dyDescent="0.5">
      <c r="A37" s="51" t="s">
        <v>14</v>
      </c>
      <c r="B37" s="48" t="s">
        <v>70</v>
      </c>
      <c r="C37" s="145"/>
      <c r="D37" s="147"/>
      <c r="E37" s="145">
        <f>8316771.14+494.25+26846</f>
        <v>8344111.3899999997</v>
      </c>
      <c r="F37" s="146"/>
      <c r="G37" s="47">
        <f>E37-8343617.14</f>
        <v>494.25</v>
      </c>
    </row>
    <row r="38" spans="1:7" x14ac:dyDescent="0.5">
      <c r="A38" s="51" t="s">
        <v>45</v>
      </c>
      <c r="B38" s="48" t="s">
        <v>73</v>
      </c>
      <c r="C38" s="145"/>
      <c r="D38" s="147"/>
      <c r="E38" s="145">
        <f>'รายละเอียด(หมายเหตุ2)'!F23</f>
        <v>2806613.2800000003</v>
      </c>
      <c r="F38" s="146"/>
    </row>
    <row r="39" spans="1:7" x14ac:dyDescent="0.5">
      <c r="A39" s="51" t="s">
        <v>113</v>
      </c>
      <c r="B39" s="48" t="s">
        <v>144</v>
      </c>
      <c r="C39" s="145"/>
      <c r="D39" s="147"/>
      <c r="E39" s="145">
        <v>981839</v>
      </c>
      <c r="F39" s="146"/>
      <c r="G39" s="47"/>
    </row>
    <row r="40" spans="1:7" x14ac:dyDescent="0.5">
      <c r="A40" s="43" t="s">
        <v>110</v>
      </c>
      <c r="B40" s="44" t="s">
        <v>74</v>
      </c>
      <c r="C40" s="161"/>
      <c r="D40" s="163"/>
      <c r="E40" s="161">
        <f>5656600-2412600</f>
        <v>3244000</v>
      </c>
      <c r="F40" s="162"/>
    </row>
    <row r="41" spans="1:7" x14ac:dyDescent="0.5">
      <c r="A41" s="43" t="s">
        <v>91</v>
      </c>
      <c r="B41" s="44" t="s">
        <v>92</v>
      </c>
      <c r="C41" s="161"/>
      <c r="D41" s="163"/>
      <c r="E41" s="161">
        <v>1200000</v>
      </c>
      <c r="F41" s="162"/>
    </row>
    <row r="42" spans="1:7" s="8" customFormat="1" x14ac:dyDescent="0.5">
      <c r="A42" s="51" t="s">
        <v>112</v>
      </c>
      <c r="B42" s="48" t="s">
        <v>127</v>
      </c>
      <c r="C42" s="145"/>
      <c r="D42" s="147"/>
      <c r="E42" s="145">
        <v>57729506.380000003</v>
      </c>
      <c r="F42" s="146"/>
    </row>
    <row r="43" spans="1:7" x14ac:dyDescent="0.5">
      <c r="A43" s="51" t="s">
        <v>15</v>
      </c>
      <c r="B43" s="48" t="s">
        <v>72</v>
      </c>
      <c r="C43" s="145"/>
      <c r="D43" s="147"/>
      <c r="E43" s="145">
        <v>61632224.68</v>
      </c>
      <c r="F43" s="146"/>
    </row>
    <row r="44" spans="1:7" x14ac:dyDescent="0.5">
      <c r="A44" s="51" t="s">
        <v>53</v>
      </c>
      <c r="B44" s="48" t="s">
        <v>71</v>
      </c>
      <c r="C44" s="145"/>
      <c r="D44" s="147"/>
      <c r="E44" s="145">
        <v>38466290.329999998</v>
      </c>
      <c r="F44" s="146"/>
    </row>
    <row r="45" spans="1:7" ht="24.75" thickBot="1" x14ac:dyDescent="0.55000000000000004">
      <c r="A45" s="52" t="s">
        <v>44</v>
      </c>
      <c r="B45" s="53"/>
      <c r="C45" s="158">
        <f>SUM(C6:C44)</f>
        <v>174404585.06000003</v>
      </c>
      <c r="D45" s="160"/>
      <c r="E45" s="158">
        <f>SUM(E6:E44)</f>
        <v>174404585.06</v>
      </c>
      <c r="F45" s="159"/>
      <c r="G45" s="47">
        <f>C45-E45</f>
        <v>0</v>
      </c>
    </row>
    <row r="46" spans="1:7" x14ac:dyDescent="0.5">
      <c r="A46" s="148"/>
      <c r="B46" s="148"/>
      <c r="C46" s="148"/>
      <c r="D46" s="49"/>
      <c r="E46" s="50"/>
      <c r="F46" s="50"/>
    </row>
    <row r="47" spans="1:7" ht="26.25" x14ac:dyDescent="0.55000000000000004">
      <c r="A47" s="58" t="s">
        <v>162</v>
      </c>
      <c r="B47" s="58"/>
      <c r="C47" s="149" t="s">
        <v>117</v>
      </c>
      <c r="D47" s="149"/>
      <c r="E47" s="149"/>
      <c r="F47" s="149"/>
      <c r="G47" s="47"/>
    </row>
    <row r="48" spans="1:7" ht="26.25" x14ac:dyDescent="0.55000000000000004">
      <c r="A48" s="58" t="s">
        <v>163</v>
      </c>
      <c r="B48" s="58"/>
      <c r="C48" s="141" t="s">
        <v>217</v>
      </c>
      <c r="D48" s="141"/>
      <c r="E48" s="141"/>
      <c r="F48" s="141"/>
    </row>
    <row r="49" spans="1:8" s="54" customFormat="1" ht="26.25" x14ac:dyDescent="0.55000000000000004">
      <c r="A49" s="59" t="s">
        <v>147</v>
      </c>
      <c r="B49" s="60"/>
      <c r="C49" s="142" t="s">
        <v>216</v>
      </c>
      <c r="D49" s="142"/>
      <c r="E49" s="142"/>
      <c r="F49" s="142"/>
      <c r="H49" s="55"/>
    </row>
    <row r="50" spans="1:8" s="54" customFormat="1" ht="26.25" x14ac:dyDescent="0.55000000000000004">
      <c r="A50" s="45"/>
      <c r="B50" s="45"/>
      <c r="C50" s="79"/>
      <c r="D50" s="79"/>
      <c r="E50" s="45"/>
      <c r="F50" s="45"/>
      <c r="H50" s="55"/>
    </row>
    <row r="51" spans="1:8" x14ac:dyDescent="0.5">
      <c r="A51" s="154" t="s">
        <v>94</v>
      </c>
      <c r="B51" s="154"/>
      <c r="C51" s="154"/>
      <c r="D51" s="154"/>
      <c r="E51" s="154"/>
      <c r="F51" s="154"/>
    </row>
    <row r="52" spans="1:8" s="54" customFormat="1" ht="26.25" x14ac:dyDescent="0.55000000000000004">
      <c r="A52" s="154" t="s">
        <v>164</v>
      </c>
      <c r="B52" s="154"/>
      <c r="C52" s="154"/>
      <c r="D52" s="154"/>
      <c r="E52" s="154"/>
      <c r="F52" s="154"/>
      <c r="H52" s="55"/>
    </row>
    <row r="53" spans="1:8" ht="24.75" thickBot="1" x14ac:dyDescent="0.55000000000000004">
      <c r="A53" s="155" t="s">
        <v>224</v>
      </c>
      <c r="B53" s="155"/>
      <c r="C53" s="155"/>
      <c r="D53" s="155"/>
      <c r="E53" s="155"/>
      <c r="F53" s="155"/>
    </row>
    <row r="54" spans="1:8" x14ac:dyDescent="0.5">
      <c r="A54" s="156" t="s">
        <v>75</v>
      </c>
      <c r="B54" s="150" t="s">
        <v>1</v>
      </c>
      <c r="C54" s="150" t="s">
        <v>2</v>
      </c>
      <c r="D54" s="150"/>
      <c r="E54" s="150" t="s">
        <v>3</v>
      </c>
      <c r="F54" s="152"/>
    </row>
    <row r="55" spans="1:8" ht="24.75" thickBot="1" x14ac:dyDescent="0.55000000000000004">
      <c r="A55" s="157"/>
      <c r="B55" s="151"/>
      <c r="C55" s="151"/>
      <c r="D55" s="151"/>
      <c r="E55" s="151"/>
      <c r="F55" s="153"/>
    </row>
    <row r="56" spans="1:8" ht="24.75" thickTop="1" x14ac:dyDescent="0.5">
      <c r="A56" s="51" t="s">
        <v>58</v>
      </c>
      <c r="B56" s="48"/>
      <c r="C56" s="145"/>
      <c r="D56" s="147"/>
      <c r="E56" s="145"/>
      <c r="F56" s="146"/>
    </row>
    <row r="57" spans="1:8" x14ac:dyDescent="0.5">
      <c r="A57" s="51" t="s">
        <v>106</v>
      </c>
      <c r="B57" s="48" t="s">
        <v>87</v>
      </c>
      <c r="C57" s="143">
        <f>C7-3955460.62+1087530+2148820.9</f>
        <v>4172501.36</v>
      </c>
      <c r="D57" s="144"/>
      <c r="E57" s="145"/>
      <c r="F57" s="146"/>
    </row>
    <row r="58" spans="1:8" x14ac:dyDescent="0.5">
      <c r="A58" s="51" t="s">
        <v>118</v>
      </c>
      <c r="B58" s="48" t="s">
        <v>90</v>
      </c>
      <c r="C58" s="143">
        <f>C8+15457688.4-9756144.28-942181.35-2148820.9-1087530-1912086</f>
        <v>1759746.7700000014</v>
      </c>
      <c r="D58" s="144"/>
      <c r="E58" s="145"/>
      <c r="F58" s="146"/>
      <c r="G58" s="64">
        <f>C58-1759746.77</f>
        <v>0</v>
      </c>
      <c r="H58" s="46">
        <f>1758346.77-C58</f>
        <v>-1400.000000001397</v>
      </c>
    </row>
    <row r="59" spans="1:8" x14ac:dyDescent="0.5">
      <c r="A59" s="51" t="s">
        <v>160</v>
      </c>
      <c r="B59" s="48" t="s">
        <v>87</v>
      </c>
      <c r="C59" s="143">
        <f>C9+65344</f>
        <v>6819869.0700000003</v>
      </c>
      <c r="D59" s="144"/>
      <c r="E59" s="145"/>
      <c r="F59" s="146"/>
      <c r="G59" s="47"/>
    </row>
    <row r="60" spans="1:8" x14ac:dyDescent="0.5">
      <c r="A60" s="51" t="s">
        <v>161</v>
      </c>
      <c r="B60" s="48" t="s">
        <v>90</v>
      </c>
      <c r="C60" s="145">
        <f t="shared" ref="C60:C66" si="0">C10</f>
        <v>0</v>
      </c>
      <c r="D60" s="147"/>
      <c r="E60" s="145"/>
      <c r="F60" s="146"/>
    </row>
    <row r="61" spans="1:8" x14ac:dyDescent="0.5">
      <c r="A61" s="51" t="s">
        <v>107</v>
      </c>
      <c r="B61" s="48" t="s">
        <v>87</v>
      </c>
      <c r="C61" s="143">
        <f>C11+735982.44-3789214.33+942181.35+9756144.28+1912086-10000000</f>
        <v>19081854.770000003</v>
      </c>
      <c r="D61" s="144"/>
      <c r="E61" s="145"/>
      <c r="F61" s="146"/>
    </row>
    <row r="62" spans="1:8" x14ac:dyDescent="0.5">
      <c r="A62" s="51" t="s">
        <v>108</v>
      </c>
      <c r="B62" s="48" t="s">
        <v>87</v>
      </c>
      <c r="C62" s="143">
        <f>C12</f>
        <v>1173023.21</v>
      </c>
      <c r="D62" s="144"/>
      <c r="E62" s="145"/>
      <c r="F62" s="146"/>
      <c r="G62" s="64">
        <f>C57+C58+C59+C61+C62+C63+C64+C65</f>
        <v>86026154.609999999</v>
      </c>
    </row>
    <row r="63" spans="1:8" x14ac:dyDescent="0.5">
      <c r="A63" s="51" t="s">
        <v>179</v>
      </c>
      <c r="B63" s="48" t="s">
        <v>87</v>
      </c>
      <c r="C63" s="143">
        <f>C13</f>
        <v>1750216.8</v>
      </c>
      <c r="D63" s="144"/>
      <c r="E63" s="145"/>
      <c r="F63" s="146"/>
    </row>
    <row r="64" spans="1:8" x14ac:dyDescent="0.5">
      <c r="A64" s="51" t="s">
        <v>109</v>
      </c>
      <c r="B64" s="48" t="s">
        <v>88</v>
      </c>
      <c r="C64" s="143">
        <f>C14+1016266.76</f>
        <v>36167876.769999996</v>
      </c>
      <c r="D64" s="144"/>
      <c r="E64" s="145"/>
      <c r="F64" s="146"/>
    </row>
    <row r="65" spans="1:7" x14ac:dyDescent="0.5">
      <c r="A65" s="51" t="s">
        <v>153</v>
      </c>
      <c r="B65" s="48" t="s">
        <v>88</v>
      </c>
      <c r="C65" s="143">
        <f>C15+10000000</f>
        <v>15101065.859999999</v>
      </c>
      <c r="D65" s="144"/>
      <c r="E65" s="145"/>
      <c r="F65" s="146"/>
    </row>
    <row r="66" spans="1:7" x14ac:dyDescent="0.5">
      <c r="A66" s="43" t="s">
        <v>114</v>
      </c>
      <c r="B66" s="44" t="s">
        <v>139</v>
      </c>
      <c r="C66" s="145">
        <f t="shared" si="0"/>
        <v>166839</v>
      </c>
      <c r="D66" s="147"/>
      <c r="E66" s="161"/>
      <c r="F66" s="162"/>
      <c r="G66" s="47"/>
    </row>
    <row r="67" spans="1:7" x14ac:dyDescent="0.5">
      <c r="A67" s="51" t="s">
        <v>111</v>
      </c>
      <c r="B67" s="48" t="s">
        <v>125</v>
      </c>
      <c r="C67" s="145">
        <f>C17+1691596.87</f>
        <v>13579511.350000001</v>
      </c>
      <c r="D67" s="147"/>
      <c r="E67" s="145"/>
      <c r="F67" s="146"/>
      <c r="G67" s="64"/>
    </row>
    <row r="68" spans="1:7" x14ac:dyDescent="0.5">
      <c r="A68" s="51" t="s">
        <v>115</v>
      </c>
      <c r="B68" s="48" t="s">
        <v>126</v>
      </c>
      <c r="C68" s="145">
        <f>C18</f>
        <v>81353788.239999995</v>
      </c>
      <c r="D68" s="147"/>
      <c r="E68" s="145"/>
      <c r="F68" s="146"/>
    </row>
    <row r="69" spans="1:7" x14ac:dyDescent="0.5">
      <c r="A69" s="51" t="s">
        <v>128</v>
      </c>
      <c r="B69" s="48" t="s">
        <v>60</v>
      </c>
      <c r="C69" s="145">
        <f>C19+175104-19300-3900-128700-5900-3600-80000</f>
        <v>23504</v>
      </c>
      <c r="D69" s="147"/>
      <c r="E69" s="145"/>
      <c r="F69" s="146"/>
    </row>
    <row r="70" spans="1:7" x14ac:dyDescent="0.5">
      <c r="A70" s="51" t="s">
        <v>55</v>
      </c>
      <c r="B70" s="48" t="s">
        <v>59</v>
      </c>
      <c r="C70" s="145">
        <f>C20+1392900-2600</f>
        <v>3111630</v>
      </c>
      <c r="D70" s="147"/>
      <c r="E70" s="145"/>
      <c r="F70" s="146"/>
    </row>
    <row r="71" spans="1:7" x14ac:dyDescent="0.5">
      <c r="A71" s="51" t="s">
        <v>129</v>
      </c>
      <c r="B71" s="48" t="s">
        <v>140</v>
      </c>
      <c r="C71" s="145">
        <f>C21-1750</f>
        <v>216200</v>
      </c>
      <c r="D71" s="147"/>
      <c r="E71" s="145"/>
      <c r="F71" s="146"/>
    </row>
    <row r="72" spans="1:7" x14ac:dyDescent="0.5">
      <c r="A72" s="51" t="s">
        <v>130</v>
      </c>
      <c r="B72" s="48" t="s">
        <v>141</v>
      </c>
      <c r="C72" s="145">
        <f>C24-250</f>
        <v>177977</v>
      </c>
      <c r="D72" s="147"/>
      <c r="E72" s="145"/>
      <c r="F72" s="146"/>
    </row>
    <row r="73" spans="1:7" x14ac:dyDescent="0.5">
      <c r="A73" s="51" t="s">
        <v>131</v>
      </c>
      <c r="B73" s="48" t="s">
        <v>142</v>
      </c>
      <c r="C73" s="145">
        <f>C25-30.4</f>
        <v>10722.65</v>
      </c>
      <c r="D73" s="147"/>
      <c r="E73" s="145"/>
      <c r="F73" s="146"/>
    </row>
    <row r="74" spans="1:7" x14ac:dyDescent="0.5">
      <c r="A74" s="51" t="s">
        <v>132</v>
      </c>
      <c r="B74" s="48" t="s">
        <v>143</v>
      </c>
      <c r="C74" s="145">
        <f>C26-800</f>
        <v>43110</v>
      </c>
      <c r="D74" s="147"/>
      <c r="E74" s="145"/>
      <c r="F74" s="146"/>
    </row>
    <row r="75" spans="1:7" x14ac:dyDescent="0.5">
      <c r="A75" s="51" t="s">
        <v>12</v>
      </c>
      <c r="B75" s="48" t="s">
        <v>61</v>
      </c>
      <c r="C75" s="145">
        <v>31724</v>
      </c>
      <c r="D75" s="147"/>
      <c r="E75" s="145"/>
      <c r="F75" s="146"/>
    </row>
    <row r="76" spans="1:7" x14ac:dyDescent="0.5">
      <c r="A76" s="51" t="s">
        <v>4</v>
      </c>
      <c r="B76" s="48" t="s">
        <v>62</v>
      </c>
      <c r="C76" s="145">
        <f>C28+1274100</f>
        <v>2213620</v>
      </c>
      <c r="D76" s="147"/>
      <c r="E76" s="145"/>
      <c r="F76" s="146"/>
    </row>
    <row r="77" spans="1:7" x14ac:dyDescent="0.5">
      <c r="A77" s="51" t="s">
        <v>5</v>
      </c>
      <c r="B77" s="48" t="s">
        <v>62</v>
      </c>
      <c r="C77" s="145">
        <f>C29+616175</f>
        <v>1232220</v>
      </c>
      <c r="D77" s="147"/>
      <c r="E77" s="145"/>
      <c r="F77" s="146"/>
    </row>
    <row r="78" spans="1:7" x14ac:dyDescent="0.5">
      <c r="A78" s="51" t="s">
        <v>6</v>
      </c>
      <c r="B78" s="48" t="s">
        <v>63</v>
      </c>
      <c r="C78" s="145">
        <f>C30+30670</f>
        <v>40170</v>
      </c>
      <c r="D78" s="147"/>
      <c r="E78" s="145"/>
      <c r="F78" s="146"/>
    </row>
    <row r="79" spans="1:7" x14ac:dyDescent="0.5">
      <c r="A79" s="51" t="s">
        <v>7</v>
      </c>
      <c r="B79" s="48" t="s">
        <v>64</v>
      </c>
      <c r="C79" s="145">
        <f>C31+1563713.91+3900+128700+5900+3600+80000</f>
        <v>2323573.91</v>
      </c>
      <c r="D79" s="147"/>
      <c r="E79" s="145"/>
      <c r="F79" s="146"/>
    </row>
    <row r="80" spans="1:7" x14ac:dyDescent="0.5">
      <c r="A80" s="51" t="s">
        <v>8</v>
      </c>
      <c r="B80" s="48" t="s">
        <v>65</v>
      </c>
      <c r="C80" s="145">
        <f>C32+422101.3</f>
        <v>434101.3</v>
      </c>
      <c r="D80" s="147"/>
      <c r="E80" s="145"/>
      <c r="F80" s="146"/>
    </row>
    <row r="81" spans="1:8" x14ac:dyDescent="0.5">
      <c r="A81" s="51" t="s">
        <v>9</v>
      </c>
      <c r="B81" s="48" t="s">
        <v>66</v>
      </c>
      <c r="C81" s="145">
        <f>C33+107301.03</f>
        <v>231001.36</v>
      </c>
      <c r="D81" s="147"/>
      <c r="E81" s="145"/>
      <c r="F81" s="146"/>
    </row>
    <row r="82" spans="1:8" x14ac:dyDescent="0.5">
      <c r="A82" s="51" t="s">
        <v>10</v>
      </c>
      <c r="B82" s="48" t="s">
        <v>68</v>
      </c>
      <c r="C82" s="145"/>
      <c r="D82" s="147"/>
      <c r="E82" s="145"/>
      <c r="F82" s="146"/>
    </row>
    <row r="83" spans="1:8" x14ac:dyDescent="0.5">
      <c r="A83" s="51" t="s">
        <v>11</v>
      </c>
      <c r="B83" s="48" t="s">
        <v>69</v>
      </c>
      <c r="C83" s="145"/>
      <c r="D83" s="147"/>
      <c r="E83" s="145"/>
      <c r="F83" s="146"/>
    </row>
    <row r="84" spans="1:8" x14ac:dyDescent="0.5">
      <c r="A84" s="51" t="s">
        <v>13</v>
      </c>
      <c r="B84" s="48" t="s">
        <v>67</v>
      </c>
      <c r="C84" s="164">
        <v>305543.93</v>
      </c>
      <c r="D84" s="165"/>
      <c r="E84" s="145"/>
      <c r="F84" s="146"/>
    </row>
    <row r="85" spans="1:8" x14ac:dyDescent="0.5">
      <c r="A85" s="51" t="s">
        <v>14</v>
      </c>
      <c r="B85" s="48" t="s">
        <v>70</v>
      </c>
      <c r="C85" s="145"/>
      <c r="D85" s="147"/>
      <c r="E85" s="145">
        <f>E37+11550973.1+3739800+495000+385700+65020+97490+10800+57300+46750+57300+98100+4905+6000+494.25</f>
        <v>24959743.739999998</v>
      </c>
      <c r="F85" s="146"/>
      <c r="G85" s="46">
        <f>16615138.1</f>
        <v>16615138.1</v>
      </c>
      <c r="H85" s="46">
        <v>16615632.35</v>
      </c>
    </row>
    <row r="86" spans="1:8" x14ac:dyDescent="0.5">
      <c r="A86" s="51" t="s">
        <v>45</v>
      </c>
      <c r="B86" s="48" t="s">
        <v>73</v>
      </c>
      <c r="C86" s="145"/>
      <c r="D86" s="147"/>
      <c r="E86" s="145">
        <f>'รายละเอียด(หมายเหตุ2)'!F60</f>
        <v>3367787.2200000007</v>
      </c>
      <c r="F86" s="146"/>
      <c r="H86" s="46">
        <f>G85-H85</f>
        <v>-494.25</v>
      </c>
    </row>
    <row r="87" spans="1:8" x14ac:dyDescent="0.5">
      <c r="A87" s="51" t="s">
        <v>113</v>
      </c>
      <c r="B87" s="48" t="s">
        <v>144</v>
      </c>
      <c r="C87" s="145"/>
      <c r="D87" s="147"/>
      <c r="E87" s="145">
        <f>E39</f>
        <v>981839</v>
      </c>
      <c r="F87" s="146"/>
    </row>
    <row r="88" spans="1:8" x14ac:dyDescent="0.5">
      <c r="A88" s="43" t="s">
        <v>110</v>
      </c>
      <c r="B88" s="44" t="s">
        <v>74</v>
      </c>
      <c r="C88" s="161"/>
      <c r="D88" s="163"/>
      <c r="E88" s="145">
        <f>E40-60000</f>
        <v>3184000</v>
      </c>
      <c r="F88" s="146"/>
    </row>
    <row r="89" spans="1:8" x14ac:dyDescent="0.5">
      <c r="A89" s="43" t="s">
        <v>91</v>
      </c>
      <c r="B89" s="44" t="s">
        <v>92</v>
      </c>
      <c r="C89" s="161"/>
      <c r="D89" s="163"/>
      <c r="E89" s="145">
        <f>E41</f>
        <v>1200000</v>
      </c>
      <c r="F89" s="146"/>
    </row>
    <row r="90" spans="1:8" x14ac:dyDescent="0.5">
      <c r="A90" s="51" t="s">
        <v>112</v>
      </c>
      <c r="B90" s="48" t="s">
        <v>127</v>
      </c>
      <c r="C90" s="145"/>
      <c r="D90" s="147"/>
      <c r="E90" s="145">
        <f>E42</f>
        <v>57729506.380000003</v>
      </c>
      <c r="F90" s="146"/>
    </row>
    <row r="91" spans="1:8" x14ac:dyDescent="0.5">
      <c r="A91" s="51" t="s">
        <v>15</v>
      </c>
      <c r="B91" s="48" t="s">
        <v>72</v>
      </c>
      <c r="C91" s="145"/>
      <c r="D91" s="147"/>
      <c r="E91" s="145">
        <f>E43</f>
        <v>61632224.68</v>
      </c>
      <c r="F91" s="146"/>
    </row>
    <row r="92" spans="1:8" x14ac:dyDescent="0.5">
      <c r="A92" s="51" t="s">
        <v>53</v>
      </c>
      <c r="B92" s="48" t="s">
        <v>71</v>
      </c>
      <c r="C92" s="145"/>
      <c r="D92" s="147"/>
      <c r="E92" s="145">
        <f>E44</f>
        <v>38466290.329999998</v>
      </c>
      <c r="F92" s="146"/>
    </row>
    <row r="93" spans="1:8" ht="24.75" thickBot="1" x14ac:dyDescent="0.55000000000000004">
      <c r="A93" s="52" t="s">
        <v>44</v>
      </c>
      <c r="B93" s="53"/>
      <c r="C93" s="158">
        <f>SUM(C56:C92)</f>
        <v>191521391.35000002</v>
      </c>
      <c r="D93" s="160"/>
      <c r="E93" s="158">
        <f>SUM(E56:E92)</f>
        <v>191521391.35000002</v>
      </c>
      <c r="F93" s="159"/>
      <c r="G93" s="47">
        <f>C93-E93</f>
        <v>0</v>
      </c>
    </row>
    <row r="94" spans="1:8" x14ac:dyDescent="0.5">
      <c r="A94" s="148"/>
      <c r="B94" s="148"/>
      <c r="C94" s="148"/>
      <c r="D94" s="49"/>
      <c r="E94" s="50"/>
      <c r="F94" s="50"/>
    </row>
    <row r="95" spans="1:8" ht="26.25" x14ac:dyDescent="0.55000000000000004">
      <c r="A95" s="58" t="s">
        <v>162</v>
      </c>
      <c r="B95" s="58"/>
      <c r="C95" s="149" t="s">
        <v>117</v>
      </c>
      <c r="D95" s="149"/>
      <c r="E95" s="149"/>
      <c r="F95" s="149"/>
    </row>
    <row r="96" spans="1:8" ht="26.25" x14ac:dyDescent="0.55000000000000004">
      <c r="A96" s="58" t="s">
        <v>163</v>
      </c>
      <c r="B96" s="58"/>
      <c r="C96" s="141" t="s">
        <v>217</v>
      </c>
      <c r="D96" s="141"/>
      <c r="E96" s="141"/>
      <c r="F96" s="141"/>
    </row>
    <row r="97" spans="1:7" ht="26.25" x14ac:dyDescent="0.55000000000000004">
      <c r="A97" s="59" t="s">
        <v>147</v>
      </c>
      <c r="B97" s="60"/>
      <c r="C97" s="142" t="s">
        <v>216</v>
      </c>
      <c r="D97" s="142"/>
      <c r="E97" s="142"/>
      <c r="F97" s="142"/>
      <c r="G97" s="47"/>
    </row>
    <row r="98" spans="1:7" ht="26.25" x14ac:dyDescent="0.55000000000000004">
      <c r="A98" s="59"/>
      <c r="B98" s="60"/>
      <c r="C98" s="109"/>
      <c r="D98" s="109"/>
      <c r="E98" s="109"/>
      <c r="F98" s="109"/>
      <c r="G98" s="47"/>
    </row>
    <row r="99" spans="1:7" ht="26.25" x14ac:dyDescent="0.55000000000000004">
      <c r="A99" s="59"/>
      <c r="B99" s="60"/>
      <c r="C99" s="109"/>
      <c r="D99" s="109"/>
      <c r="E99" s="109"/>
      <c r="F99" s="109"/>
      <c r="G99" s="47"/>
    </row>
    <row r="100" spans="1:7" x14ac:dyDescent="0.5">
      <c r="A100" s="154" t="s">
        <v>94</v>
      </c>
      <c r="B100" s="154"/>
      <c r="C100" s="154"/>
      <c r="D100" s="154"/>
      <c r="E100" s="154"/>
      <c r="F100" s="154"/>
      <c r="G100" s="47"/>
    </row>
    <row r="101" spans="1:7" x14ac:dyDescent="0.5">
      <c r="A101" s="154" t="s">
        <v>164</v>
      </c>
      <c r="B101" s="154"/>
      <c r="C101" s="154"/>
      <c r="D101" s="154"/>
      <c r="E101" s="154"/>
      <c r="F101" s="154"/>
    </row>
    <row r="102" spans="1:7" ht="24.75" thickBot="1" x14ac:dyDescent="0.55000000000000004">
      <c r="A102" s="155" t="s">
        <v>238</v>
      </c>
      <c r="B102" s="155"/>
      <c r="C102" s="155"/>
      <c r="D102" s="155"/>
      <c r="E102" s="155"/>
      <c r="F102" s="155"/>
    </row>
    <row r="103" spans="1:7" x14ac:dyDescent="0.5">
      <c r="A103" s="156" t="s">
        <v>75</v>
      </c>
      <c r="B103" s="150" t="s">
        <v>1</v>
      </c>
      <c r="C103" s="150" t="s">
        <v>2</v>
      </c>
      <c r="D103" s="150"/>
      <c r="E103" s="150" t="s">
        <v>3</v>
      </c>
      <c r="F103" s="152"/>
    </row>
    <row r="104" spans="1:7" ht="24.75" thickBot="1" x14ac:dyDescent="0.55000000000000004">
      <c r="A104" s="157"/>
      <c r="B104" s="151"/>
      <c r="C104" s="151"/>
      <c r="D104" s="151"/>
      <c r="E104" s="151"/>
      <c r="F104" s="153"/>
    </row>
    <row r="105" spans="1:7" ht="24.75" thickTop="1" x14ac:dyDescent="0.5">
      <c r="A105" s="51" t="s">
        <v>58</v>
      </c>
      <c r="B105" s="48"/>
      <c r="C105" s="145"/>
      <c r="D105" s="147"/>
      <c r="E105" s="145"/>
      <c r="F105" s="146"/>
    </row>
    <row r="106" spans="1:7" x14ac:dyDescent="0.5">
      <c r="A106" s="51" t="s">
        <v>106</v>
      </c>
      <c r="B106" s="48" t="s">
        <v>87</v>
      </c>
      <c r="C106" s="145">
        <f>C57+2125-3591926.75+12845494+1807600+1759746.77</f>
        <v>16995540.379999999</v>
      </c>
      <c r="D106" s="147"/>
      <c r="E106" s="145"/>
      <c r="F106" s="146"/>
    </row>
    <row r="107" spans="1:7" x14ac:dyDescent="0.5">
      <c r="A107" s="51" t="s">
        <v>118</v>
      </c>
      <c r="B107" s="48" t="s">
        <v>90</v>
      </c>
      <c r="C107" s="145">
        <f>C58+16124800.62-1759746.77-1473156.62-1807600-12845494+1450</f>
        <v>0</v>
      </c>
      <c r="D107" s="147"/>
      <c r="E107" s="145"/>
      <c r="F107" s="146"/>
      <c r="G107" s="64"/>
    </row>
    <row r="108" spans="1:7" x14ac:dyDescent="0.5">
      <c r="A108" s="51" t="s">
        <v>160</v>
      </c>
      <c r="B108" s="48" t="s">
        <v>87</v>
      </c>
      <c r="C108" s="145">
        <f>C59+19075.2</f>
        <v>6838944.2700000005</v>
      </c>
      <c r="D108" s="147"/>
      <c r="E108" s="145"/>
      <c r="F108" s="146"/>
    </row>
    <row r="109" spans="1:7" x14ac:dyDescent="0.5">
      <c r="A109" s="51" t="s">
        <v>161</v>
      </c>
      <c r="B109" s="48" t="s">
        <v>90</v>
      </c>
      <c r="C109" s="145">
        <f t="shared" ref="C109:C117" si="1">C60</f>
        <v>0</v>
      </c>
      <c r="D109" s="147"/>
      <c r="E109" s="145"/>
      <c r="F109" s="146"/>
      <c r="G109" s="64"/>
    </row>
    <row r="110" spans="1:7" x14ac:dyDescent="0.5">
      <c r="A110" s="51" t="s">
        <v>107</v>
      </c>
      <c r="B110" s="48" t="s">
        <v>87</v>
      </c>
      <c r="C110" s="145">
        <f>C61+170573.43-6277287.15+1473156.62+500+1800+500+1800</f>
        <v>14452897.670000002</v>
      </c>
      <c r="D110" s="147"/>
      <c r="E110" s="145"/>
      <c r="F110" s="146"/>
    </row>
    <row r="111" spans="1:7" x14ac:dyDescent="0.5">
      <c r="A111" s="51" t="s">
        <v>108</v>
      </c>
      <c r="B111" s="48" t="s">
        <v>87</v>
      </c>
      <c r="C111" s="145">
        <f>C62-22630.93</f>
        <v>1150392.28</v>
      </c>
      <c r="D111" s="147"/>
      <c r="E111" s="145"/>
      <c r="F111" s="146"/>
      <c r="G111" s="64"/>
    </row>
    <row r="112" spans="1:7" x14ac:dyDescent="0.5">
      <c r="A112" s="51" t="s">
        <v>179</v>
      </c>
      <c r="B112" s="48" t="s">
        <v>87</v>
      </c>
      <c r="C112" s="145">
        <f t="shared" si="1"/>
        <v>1750216.8</v>
      </c>
      <c r="D112" s="147"/>
      <c r="E112" s="145"/>
      <c r="F112" s="146"/>
    </row>
    <row r="113" spans="1:7" x14ac:dyDescent="0.5">
      <c r="A113" s="51" t="s">
        <v>109</v>
      </c>
      <c r="B113" s="48" t="s">
        <v>88</v>
      </c>
      <c r="C113" s="145">
        <f>C64+4318.98-1450</f>
        <v>36170745.749999993</v>
      </c>
      <c r="D113" s="147"/>
      <c r="E113" s="145"/>
      <c r="F113" s="146"/>
    </row>
    <row r="114" spans="1:7" x14ac:dyDescent="0.5">
      <c r="A114" s="51" t="s">
        <v>153</v>
      </c>
      <c r="B114" s="48" t="s">
        <v>88</v>
      </c>
      <c r="C114" s="145">
        <f>C65+14064.97</f>
        <v>15115130.83</v>
      </c>
      <c r="D114" s="147"/>
      <c r="E114" s="145"/>
      <c r="F114" s="146"/>
      <c r="G114" s="47">
        <f>C106+C107+C108+C110+C111+C112+C113+C114</f>
        <v>92473867.979999989</v>
      </c>
    </row>
    <row r="115" spans="1:7" x14ac:dyDescent="0.5">
      <c r="A115" s="43" t="s">
        <v>114</v>
      </c>
      <c r="B115" s="44" t="s">
        <v>139</v>
      </c>
      <c r="C115" s="145">
        <f t="shared" si="1"/>
        <v>166839</v>
      </c>
      <c r="D115" s="147"/>
      <c r="E115" s="161"/>
      <c r="F115" s="162"/>
      <c r="G115" s="64"/>
    </row>
    <row r="116" spans="1:7" x14ac:dyDescent="0.5">
      <c r="A116" s="51" t="s">
        <v>111</v>
      </c>
      <c r="B116" s="48" t="s">
        <v>125</v>
      </c>
      <c r="C116" s="145">
        <f t="shared" si="1"/>
        <v>13579511.350000001</v>
      </c>
      <c r="D116" s="147"/>
      <c r="E116" s="145"/>
      <c r="F116" s="146"/>
    </row>
    <row r="117" spans="1:7" x14ac:dyDescent="0.5">
      <c r="A117" s="51" t="s">
        <v>115</v>
      </c>
      <c r="B117" s="48" t="s">
        <v>126</v>
      </c>
      <c r="C117" s="145">
        <f t="shared" si="1"/>
        <v>81353788.239999995</v>
      </c>
      <c r="D117" s="147"/>
      <c r="E117" s="145"/>
      <c r="F117" s="146"/>
    </row>
    <row r="118" spans="1:7" x14ac:dyDescent="0.5">
      <c r="A118" s="51" t="s">
        <v>128</v>
      </c>
      <c r="B118" s="48" t="s">
        <v>60</v>
      </c>
      <c r="C118" s="145">
        <f>C69+16104+203950-203950-6852-6852-6852-2800-6852-7000-2400</f>
        <v>0</v>
      </c>
      <c r="D118" s="147"/>
      <c r="E118" s="145"/>
      <c r="F118" s="146"/>
    </row>
    <row r="119" spans="1:7" x14ac:dyDescent="0.5">
      <c r="A119" s="51" t="s">
        <v>55</v>
      </c>
      <c r="B119" s="48" t="s">
        <v>59</v>
      </c>
      <c r="C119" s="145">
        <f>C70+41990-53200-61600-1990-346330-5500-8000-1076000-8000-155500-89400-5000-1082900-91700-153500</f>
        <v>15000</v>
      </c>
      <c r="D119" s="147"/>
      <c r="E119" s="145"/>
      <c r="F119" s="146"/>
      <c r="G119" s="47">
        <f>15000-C119</f>
        <v>0</v>
      </c>
    </row>
    <row r="120" spans="1:7" x14ac:dyDescent="0.5">
      <c r="A120" s="51" t="s">
        <v>129</v>
      </c>
      <c r="B120" s="48" t="s">
        <v>140</v>
      </c>
      <c r="C120" s="145">
        <f>C71-1750</f>
        <v>214450</v>
      </c>
      <c r="D120" s="147"/>
      <c r="E120" s="145"/>
      <c r="F120" s="146"/>
    </row>
    <row r="121" spans="1:7" x14ac:dyDescent="0.5">
      <c r="A121" s="51" t="s">
        <v>130</v>
      </c>
      <c r="B121" s="48" t="s">
        <v>141</v>
      </c>
      <c r="C121" s="145">
        <f>C72</f>
        <v>177977</v>
      </c>
      <c r="D121" s="147"/>
      <c r="E121" s="145"/>
      <c r="F121" s="146"/>
    </row>
    <row r="122" spans="1:7" x14ac:dyDescent="0.5">
      <c r="A122" s="51" t="s">
        <v>131</v>
      </c>
      <c r="B122" s="48" t="s">
        <v>142</v>
      </c>
      <c r="C122" s="145">
        <f>C73-122.55</f>
        <v>10600.1</v>
      </c>
      <c r="D122" s="147"/>
      <c r="E122" s="145"/>
      <c r="F122" s="146"/>
    </row>
    <row r="123" spans="1:7" x14ac:dyDescent="0.5">
      <c r="A123" s="51" t="s">
        <v>132</v>
      </c>
      <c r="B123" s="48" t="s">
        <v>143</v>
      </c>
      <c r="C123" s="145">
        <f>C74-3040</f>
        <v>40070</v>
      </c>
      <c r="D123" s="147"/>
      <c r="E123" s="145"/>
      <c r="F123" s="146"/>
    </row>
    <row r="124" spans="1:7" x14ac:dyDescent="0.5">
      <c r="A124" s="51" t="s">
        <v>12</v>
      </c>
      <c r="B124" s="48" t="s">
        <v>61</v>
      </c>
      <c r="C124" s="145">
        <f>C75+1375074+8000+8000</f>
        <v>1422798</v>
      </c>
      <c r="D124" s="147"/>
      <c r="E124" s="145"/>
      <c r="F124" s="146"/>
      <c r="G124" s="47">
        <f>C75+1375074</f>
        <v>1406798</v>
      </c>
    </row>
    <row r="125" spans="1:7" x14ac:dyDescent="0.5">
      <c r="A125" s="51" t="s">
        <v>168</v>
      </c>
      <c r="B125" s="48" t="s">
        <v>169</v>
      </c>
      <c r="C125" s="145">
        <f>1169200+159000+1990+153000+5000+89400+155000+1074200+5500+1081100+91700-2600</f>
        <v>3982490</v>
      </c>
      <c r="D125" s="147"/>
      <c r="E125" s="115"/>
      <c r="F125" s="116"/>
      <c r="G125" s="45">
        <v>1328200</v>
      </c>
    </row>
    <row r="126" spans="1:7" x14ac:dyDescent="0.5">
      <c r="A126" s="51" t="s">
        <v>4</v>
      </c>
      <c r="B126" s="48" t="s">
        <v>62</v>
      </c>
      <c r="C126" s="145">
        <f>C76+1274100+334580</f>
        <v>3822300</v>
      </c>
      <c r="D126" s="147"/>
      <c r="E126" s="145"/>
      <c r="F126" s="146"/>
      <c r="G126" s="45">
        <v>3487720</v>
      </c>
    </row>
    <row r="127" spans="1:7" x14ac:dyDescent="0.5">
      <c r="A127" s="51" t="s">
        <v>180</v>
      </c>
      <c r="B127" s="48" t="s">
        <v>181</v>
      </c>
      <c r="C127" s="145">
        <f>53200</f>
        <v>53200</v>
      </c>
      <c r="D127" s="147"/>
      <c r="E127" s="145"/>
      <c r="F127" s="146"/>
      <c r="G127" s="45">
        <v>3487720</v>
      </c>
    </row>
    <row r="128" spans="1:7" x14ac:dyDescent="0.5">
      <c r="A128" s="51" t="s">
        <v>5</v>
      </c>
      <c r="B128" s="48" t="s">
        <v>62</v>
      </c>
      <c r="C128" s="145">
        <f>C77+616175+11750</f>
        <v>1860145</v>
      </c>
      <c r="D128" s="147"/>
      <c r="E128" s="145"/>
      <c r="F128" s="146"/>
      <c r="G128" s="45">
        <v>1848395</v>
      </c>
    </row>
    <row r="129" spans="1:7" x14ac:dyDescent="0.5">
      <c r="A129" s="51" t="s">
        <v>182</v>
      </c>
      <c r="B129" s="48" t="s">
        <v>181</v>
      </c>
      <c r="C129" s="145">
        <f>61600</f>
        <v>61600</v>
      </c>
      <c r="D129" s="147"/>
      <c r="E129" s="145"/>
      <c r="F129" s="146"/>
      <c r="G129" s="45">
        <v>1848395</v>
      </c>
    </row>
    <row r="130" spans="1:7" x14ac:dyDescent="0.5">
      <c r="A130" s="51" t="s">
        <v>6</v>
      </c>
      <c r="B130" s="48" t="s">
        <v>63</v>
      </c>
      <c r="C130" s="145">
        <f>C78+19250</f>
        <v>59420</v>
      </c>
      <c r="D130" s="147"/>
      <c r="E130" s="145" t="s">
        <v>245</v>
      </c>
      <c r="F130" s="146"/>
    </row>
    <row r="131" spans="1:7" x14ac:dyDescent="0.5">
      <c r="A131" s="51" t="s">
        <v>7</v>
      </c>
      <c r="B131" s="48" t="s">
        <v>64</v>
      </c>
      <c r="C131" s="145">
        <f>C79+1942088.5+2400+7000+6852+2800+6852+6852+6852</f>
        <v>4305270.41</v>
      </c>
      <c r="D131" s="147"/>
      <c r="E131" s="145"/>
      <c r="F131" s="146"/>
    </row>
    <row r="132" spans="1:7" x14ac:dyDescent="0.5">
      <c r="A132" s="51" t="s">
        <v>172</v>
      </c>
      <c r="B132" s="48" t="s">
        <v>173</v>
      </c>
      <c r="C132" s="145">
        <f>548210+6000</f>
        <v>554210</v>
      </c>
      <c r="D132" s="147"/>
      <c r="E132" s="145"/>
      <c r="F132" s="146"/>
    </row>
    <row r="133" spans="1:7" x14ac:dyDescent="0.5">
      <c r="A133" s="51" t="s">
        <v>8</v>
      </c>
      <c r="B133" s="48" t="s">
        <v>65</v>
      </c>
      <c r="C133" s="145">
        <f>C80+412733</f>
        <v>846834.3</v>
      </c>
      <c r="D133" s="147"/>
      <c r="E133" s="145"/>
      <c r="F133" s="146"/>
    </row>
    <row r="134" spans="1:7" x14ac:dyDescent="0.5">
      <c r="A134" s="51" t="s">
        <v>9</v>
      </c>
      <c r="B134" s="48" t="s">
        <v>66</v>
      </c>
      <c r="C134" s="145">
        <f>C81+133578.05</f>
        <v>364579.41</v>
      </c>
      <c r="D134" s="147"/>
      <c r="E134" s="145"/>
      <c r="F134" s="146"/>
    </row>
    <row r="135" spans="1:7" x14ac:dyDescent="0.5">
      <c r="A135" s="51" t="s">
        <v>10</v>
      </c>
      <c r="B135" s="48" t="s">
        <v>68</v>
      </c>
      <c r="C135" s="145">
        <f>C82+108600</f>
        <v>108600</v>
      </c>
      <c r="D135" s="147"/>
      <c r="E135" s="145"/>
      <c r="F135" s="146"/>
    </row>
    <row r="136" spans="1:7" x14ac:dyDescent="0.5">
      <c r="A136" s="51" t="s">
        <v>11</v>
      </c>
      <c r="B136" s="48" t="s">
        <v>69</v>
      </c>
      <c r="C136" s="145">
        <f>C83</f>
        <v>0</v>
      </c>
      <c r="D136" s="147"/>
      <c r="E136" s="145"/>
      <c r="F136" s="146"/>
    </row>
    <row r="137" spans="1:7" x14ac:dyDescent="0.5">
      <c r="A137" s="51" t="s">
        <v>13</v>
      </c>
      <c r="B137" s="48" t="s">
        <v>67</v>
      </c>
      <c r="C137" s="145">
        <f>C84+798000</f>
        <v>1103543.93</v>
      </c>
      <c r="D137" s="147"/>
      <c r="E137" s="145"/>
      <c r="F137" s="146"/>
    </row>
    <row r="138" spans="1:7" x14ac:dyDescent="0.5">
      <c r="A138" s="51" t="s">
        <v>14</v>
      </c>
      <c r="B138" s="48" t="s">
        <v>70</v>
      </c>
      <c r="C138" s="145">
        <f t="shared" ref="C138:C144" si="2">C85</f>
        <v>0</v>
      </c>
      <c r="D138" s="147"/>
      <c r="E138" s="145">
        <f>E85+14513403.91+1246600+561000+494.25+75600+48000</f>
        <v>41404841.899999999</v>
      </c>
      <c r="F138" s="146"/>
    </row>
    <row r="139" spans="1:7" x14ac:dyDescent="0.5">
      <c r="A139" s="51" t="s">
        <v>45</v>
      </c>
      <c r="B139" s="48" t="s">
        <v>73</v>
      </c>
      <c r="C139" s="145">
        <f t="shared" si="2"/>
        <v>0</v>
      </c>
      <c r="D139" s="147"/>
      <c r="E139" s="145">
        <f>'รายละเอียด(หมายเหตุ2)'!F96</f>
        <v>2538392.4300000006</v>
      </c>
      <c r="F139" s="146"/>
    </row>
    <row r="140" spans="1:7" x14ac:dyDescent="0.5">
      <c r="A140" s="51" t="s">
        <v>113</v>
      </c>
      <c r="B140" s="48" t="s">
        <v>144</v>
      </c>
      <c r="C140" s="145">
        <f t="shared" si="2"/>
        <v>0</v>
      </c>
      <c r="D140" s="147"/>
      <c r="E140" s="145">
        <f>E87</f>
        <v>981839</v>
      </c>
      <c r="F140" s="146"/>
    </row>
    <row r="141" spans="1:7" x14ac:dyDescent="0.5">
      <c r="A141" s="43" t="s">
        <v>110</v>
      </c>
      <c r="B141" s="44" t="s">
        <v>74</v>
      </c>
      <c r="C141" s="145">
        <f t="shared" si="2"/>
        <v>0</v>
      </c>
      <c r="D141" s="147"/>
      <c r="E141" s="145">
        <f>E88-100000</f>
        <v>3084000</v>
      </c>
      <c r="F141" s="146"/>
    </row>
    <row r="142" spans="1:7" x14ac:dyDescent="0.5">
      <c r="A142" s="43" t="s">
        <v>91</v>
      </c>
      <c r="B142" s="44" t="s">
        <v>92</v>
      </c>
      <c r="C142" s="145">
        <f t="shared" si="2"/>
        <v>0</v>
      </c>
      <c r="D142" s="147"/>
      <c r="E142" s="145">
        <f>E89</f>
        <v>1200000</v>
      </c>
      <c r="F142" s="146"/>
    </row>
    <row r="143" spans="1:7" x14ac:dyDescent="0.5">
      <c r="A143" s="51" t="s">
        <v>112</v>
      </c>
      <c r="B143" s="48" t="s">
        <v>127</v>
      </c>
      <c r="C143" s="145">
        <f t="shared" si="2"/>
        <v>0</v>
      </c>
      <c r="D143" s="147"/>
      <c r="E143" s="145">
        <f>E90</f>
        <v>57729506.380000003</v>
      </c>
      <c r="F143" s="146"/>
    </row>
    <row r="144" spans="1:7" x14ac:dyDescent="0.5">
      <c r="A144" s="51" t="s">
        <v>15</v>
      </c>
      <c r="B144" s="48" t="s">
        <v>72</v>
      </c>
      <c r="C144" s="145">
        <f t="shared" si="2"/>
        <v>0</v>
      </c>
      <c r="D144" s="147"/>
      <c r="E144" s="145">
        <f>E91-460000</f>
        <v>61172224.68</v>
      </c>
      <c r="F144" s="146"/>
    </row>
    <row r="145" spans="1:8" x14ac:dyDescent="0.5">
      <c r="A145" s="51" t="s">
        <v>53</v>
      </c>
      <c r="B145" s="48" t="s">
        <v>71</v>
      </c>
      <c r="C145" s="145"/>
      <c r="D145" s="147"/>
      <c r="E145" s="145">
        <f>E92</f>
        <v>38466290.329999998</v>
      </c>
      <c r="F145" s="146"/>
    </row>
    <row r="146" spans="1:8" ht="24.75" thickBot="1" x14ac:dyDescent="0.55000000000000004">
      <c r="A146" s="52" t="s">
        <v>44</v>
      </c>
      <c r="B146" s="53"/>
      <c r="C146" s="158">
        <f>SUM(C105:C145)</f>
        <v>206577094.72</v>
      </c>
      <c r="D146" s="160"/>
      <c r="E146" s="158">
        <f>SUM(E105:E145)</f>
        <v>206577094.72000003</v>
      </c>
      <c r="F146" s="159"/>
      <c r="G146" s="64">
        <f>C146-E146</f>
        <v>0</v>
      </c>
    </row>
    <row r="147" spans="1:8" x14ac:dyDescent="0.5">
      <c r="A147" s="148"/>
      <c r="B147" s="148"/>
      <c r="C147" s="148"/>
      <c r="D147" s="49"/>
      <c r="E147" s="50"/>
      <c r="F147" s="50"/>
    </row>
    <row r="148" spans="1:8" ht="26.25" x14ac:dyDescent="0.55000000000000004">
      <c r="A148" s="58" t="s">
        <v>162</v>
      </c>
      <c r="B148" s="58"/>
      <c r="C148" s="149" t="s">
        <v>117</v>
      </c>
      <c r="D148" s="149"/>
      <c r="E148" s="149"/>
      <c r="F148" s="149"/>
      <c r="H148" s="46" t="s">
        <v>97</v>
      </c>
    </row>
    <row r="149" spans="1:8" ht="26.25" x14ac:dyDescent="0.55000000000000004">
      <c r="A149" s="58" t="s">
        <v>163</v>
      </c>
      <c r="B149" s="58"/>
      <c r="C149" s="141" t="s">
        <v>217</v>
      </c>
      <c r="D149" s="141"/>
      <c r="E149" s="141"/>
      <c r="F149" s="141"/>
    </row>
    <row r="150" spans="1:8" ht="26.25" x14ac:dyDescent="0.55000000000000004">
      <c r="A150" s="59" t="s">
        <v>147</v>
      </c>
      <c r="B150" s="60"/>
      <c r="C150" s="142" t="s">
        <v>216</v>
      </c>
      <c r="D150" s="142"/>
      <c r="E150" s="142"/>
      <c r="F150" s="142"/>
      <c r="G150" s="64" t="e">
        <f>C150-E150</f>
        <v>#VALUE!</v>
      </c>
    </row>
    <row r="151" spans="1:8" x14ac:dyDescent="0.5">
      <c r="A151" s="154" t="s">
        <v>94</v>
      </c>
      <c r="B151" s="154"/>
      <c r="C151" s="154"/>
      <c r="D151" s="154"/>
      <c r="E151" s="154"/>
      <c r="F151" s="154"/>
      <c r="G151" s="47"/>
    </row>
    <row r="152" spans="1:8" x14ac:dyDescent="0.5">
      <c r="A152" s="154" t="s">
        <v>164</v>
      </c>
      <c r="B152" s="154"/>
      <c r="C152" s="154"/>
      <c r="D152" s="154"/>
      <c r="E152" s="154"/>
      <c r="F152" s="154"/>
    </row>
    <row r="153" spans="1:8" ht="24.75" thickBot="1" x14ac:dyDescent="0.55000000000000004">
      <c r="A153" s="155" t="s">
        <v>246</v>
      </c>
      <c r="B153" s="155"/>
      <c r="C153" s="155"/>
      <c r="D153" s="155"/>
      <c r="E153" s="155"/>
      <c r="F153" s="155"/>
    </row>
    <row r="154" spans="1:8" x14ac:dyDescent="0.5">
      <c r="A154" s="156" t="s">
        <v>75</v>
      </c>
      <c r="B154" s="150" t="s">
        <v>1</v>
      </c>
      <c r="C154" s="150" t="s">
        <v>2</v>
      </c>
      <c r="D154" s="150"/>
      <c r="E154" s="150" t="s">
        <v>3</v>
      </c>
      <c r="F154" s="152"/>
    </row>
    <row r="155" spans="1:8" ht="24.75" thickBot="1" x14ac:dyDescent="0.55000000000000004">
      <c r="A155" s="157"/>
      <c r="B155" s="151"/>
      <c r="C155" s="151"/>
      <c r="D155" s="151"/>
      <c r="E155" s="151"/>
      <c r="F155" s="153"/>
    </row>
    <row r="156" spans="1:8" ht="24.75" thickTop="1" x14ac:dyDescent="0.5">
      <c r="A156" s="51" t="s">
        <v>58</v>
      </c>
      <c r="B156" s="48"/>
      <c r="C156" s="145"/>
      <c r="D156" s="147"/>
      <c r="E156" s="145"/>
      <c r="F156" s="146"/>
    </row>
    <row r="157" spans="1:8" x14ac:dyDescent="0.5">
      <c r="A157" s="51" t="s">
        <v>106</v>
      </c>
      <c r="B157" s="48" t="s">
        <v>87</v>
      </c>
      <c r="C157" s="145">
        <f>C106+50337.24-4850253.33+2585292.33</f>
        <v>14780916.619999997</v>
      </c>
      <c r="D157" s="147"/>
      <c r="E157" s="145"/>
      <c r="F157" s="146"/>
    </row>
    <row r="158" spans="1:8" x14ac:dyDescent="0.5">
      <c r="A158" s="51" t="s">
        <v>118</v>
      </c>
      <c r="B158" s="48" t="s">
        <v>90</v>
      </c>
      <c r="C158" s="145">
        <f>C107+14085063.17-4598069.27-2222701-2585292.33-4679000.57</f>
        <v>0</v>
      </c>
      <c r="D158" s="147"/>
      <c r="E158" s="145"/>
      <c r="F158" s="146"/>
      <c r="G158" s="64"/>
    </row>
    <row r="159" spans="1:8" x14ac:dyDescent="0.5">
      <c r="A159" s="51" t="s">
        <v>160</v>
      </c>
      <c r="B159" s="48" t="s">
        <v>87</v>
      </c>
      <c r="C159" s="145">
        <f>C108+513893.76</f>
        <v>7352838.0300000003</v>
      </c>
      <c r="D159" s="147"/>
      <c r="E159" s="145"/>
      <c r="F159" s="146"/>
    </row>
    <row r="160" spans="1:8" x14ac:dyDescent="0.5">
      <c r="A160" s="51" t="s">
        <v>161</v>
      </c>
      <c r="B160" s="48" t="s">
        <v>90</v>
      </c>
      <c r="C160" s="145">
        <f t="shared" ref="C160:C174" si="3">C109</f>
        <v>0</v>
      </c>
      <c r="D160" s="147"/>
      <c r="E160" s="145"/>
      <c r="F160" s="146"/>
      <c r="G160" s="64"/>
    </row>
    <row r="161" spans="1:8" x14ac:dyDescent="0.5">
      <c r="A161" s="51" t="s">
        <v>107</v>
      </c>
      <c r="B161" s="48" t="s">
        <v>87</v>
      </c>
      <c r="C161" s="145">
        <f>C110+999358.29-11037533.12+4598069.27+2222701+4679000.57</f>
        <v>15914493.680000002</v>
      </c>
      <c r="D161" s="147"/>
      <c r="E161" s="145"/>
      <c r="F161" s="146"/>
    </row>
    <row r="162" spans="1:8" x14ac:dyDescent="0.5">
      <c r="A162" s="51" t="s">
        <v>108</v>
      </c>
      <c r="B162" s="48" t="s">
        <v>87</v>
      </c>
      <c r="C162" s="145">
        <f>C111-82567.55-0.07</f>
        <v>1067824.6599999999</v>
      </c>
      <c r="D162" s="147"/>
      <c r="E162" s="145"/>
      <c r="F162" s="146"/>
      <c r="G162" s="64"/>
    </row>
    <row r="163" spans="1:8" x14ac:dyDescent="0.5">
      <c r="A163" s="51" t="s">
        <v>179</v>
      </c>
      <c r="B163" s="48" t="s">
        <v>87</v>
      </c>
      <c r="C163" s="145">
        <f>C112</f>
        <v>1750216.8</v>
      </c>
      <c r="D163" s="147"/>
      <c r="E163" s="145"/>
      <c r="F163" s="146"/>
    </row>
    <row r="164" spans="1:8" x14ac:dyDescent="0.5">
      <c r="A164" s="51" t="s">
        <v>109</v>
      </c>
      <c r="B164" s="48" t="s">
        <v>88</v>
      </c>
      <c r="C164" s="145">
        <f>C113+2795.94</f>
        <v>36173541.68999999</v>
      </c>
      <c r="D164" s="147"/>
      <c r="E164" s="145"/>
      <c r="F164" s="146"/>
    </row>
    <row r="165" spans="1:8" x14ac:dyDescent="0.5">
      <c r="A165" s="51" t="s">
        <v>153</v>
      </c>
      <c r="B165" s="48" t="s">
        <v>88</v>
      </c>
      <c r="C165" s="145">
        <f>C114+22618.96</f>
        <v>15137749.790000001</v>
      </c>
      <c r="D165" s="147"/>
      <c r="E165" s="145"/>
      <c r="F165" s="146"/>
      <c r="G165" s="47"/>
      <c r="H165" s="46">
        <f>C157+C158+C159+C161+C162+C163+C164+C165</f>
        <v>92177581.269999996</v>
      </c>
    </row>
    <row r="166" spans="1:8" x14ac:dyDescent="0.5">
      <c r="A166" s="43" t="s">
        <v>114</v>
      </c>
      <c r="B166" s="44" t="s">
        <v>139</v>
      </c>
      <c r="C166" s="145">
        <f t="shared" si="3"/>
        <v>166839</v>
      </c>
      <c r="D166" s="147"/>
      <c r="E166" s="161"/>
      <c r="F166" s="162"/>
      <c r="G166" s="64"/>
    </row>
    <row r="167" spans="1:8" x14ac:dyDescent="0.5">
      <c r="A167" s="51" t="s">
        <v>111</v>
      </c>
      <c r="B167" s="48" t="s">
        <v>125</v>
      </c>
      <c r="C167" s="145">
        <f t="shared" si="3"/>
        <v>13579511.350000001</v>
      </c>
      <c r="D167" s="147"/>
      <c r="E167" s="145"/>
      <c r="F167" s="146"/>
    </row>
    <row r="168" spans="1:8" x14ac:dyDescent="0.5">
      <c r="A168" s="51" t="s">
        <v>115</v>
      </c>
      <c r="B168" s="48" t="s">
        <v>126</v>
      </c>
      <c r="C168" s="145">
        <f t="shared" si="3"/>
        <v>81353788.239999995</v>
      </c>
      <c r="D168" s="147"/>
      <c r="E168" s="145"/>
      <c r="F168" s="146"/>
    </row>
    <row r="169" spans="1:8" x14ac:dyDescent="0.5">
      <c r="A169" s="51" t="s">
        <v>128</v>
      </c>
      <c r="B169" s="48" t="s">
        <v>60</v>
      </c>
      <c r="C169" s="145">
        <f>C118+8892</f>
        <v>8892</v>
      </c>
      <c r="D169" s="147"/>
      <c r="E169" s="145"/>
      <c r="F169" s="146"/>
    </row>
    <row r="170" spans="1:8" x14ac:dyDescent="0.5">
      <c r="A170" s="51" t="s">
        <v>55</v>
      </c>
      <c r="B170" s="48" t="s">
        <v>59</v>
      </c>
      <c r="C170" s="145">
        <f>C119+420100</f>
        <v>435100</v>
      </c>
      <c r="D170" s="147"/>
      <c r="E170" s="145"/>
      <c r="F170" s="146"/>
      <c r="G170" s="47">
        <f>15000-C170</f>
        <v>-420100</v>
      </c>
    </row>
    <row r="171" spans="1:8" x14ac:dyDescent="0.5">
      <c r="A171" s="51" t="s">
        <v>129</v>
      </c>
      <c r="B171" s="48" t="s">
        <v>140</v>
      </c>
      <c r="C171" s="145">
        <f>C120-1750</f>
        <v>212700</v>
      </c>
      <c r="D171" s="147"/>
      <c r="E171" s="145"/>
      <c r="F171" s="146"/>
    </row>
    <row r="172" spans="1:8" x14ac:dyDescent="0.5">
      <c r="A172" s="51" t="s">
        <v>130</v>
      </c>
      <c r="B172" s="48" t="s">
        <v>141</v>
      </c>
      <c r="C172" s="145">
        <f>C121-3</f>
        <v>177974</v>
      </c>
      <c r="D172" s="147"/>
      <c r="E172" s="145"/>
      <c r="F172" s="146"/>
    </row>
    <row r="173" spans="1:8" x14ac:dyDescent="0.5">
      <c r="A173" s="51" t="s">
        <v>131</v>
      </c>
      <c r="B173" s="48" t="s">
        <v>142</v>
      </c>
      <c r="C173" s="145">
        <f>C122-341.05</f>
        <v>10259.050000000001</v>
      </c>
      <c r="D173" s="147"/>
      <c r="E173" s="145"/>
      <c r="F173" s="146"/>
    </row>
    <row r="174" spans="1:8" x14ac:dyDescent="0.5">
      <c r="A174" s="51" t="s">
        <v>132</v>
      </c>
      <c r="B174" s="48" t="s">
        <v>143</v>
      </c>
      <c r="C174" s="145">
        <f t="shared" si="3"/>
        <v>40070</v>
      </c>
      <c r="D174" s="147"/>
      <c r="E174" s="145"/>
      <c r="F174" s="146"/>
    </row>
    <row r="175" spans="1:8" x14ac:dyDescent="0.5">
      <c r="A175" s="51" t="s">
        <v>12</v>
      </c>
      <c r="B175" s="48" t="s">
        <v>61</v>
      </c>
      <c r="C175" s="143">
        <f>C124+193606.15</f>
        <v>1616404.15</v>
      </c>
      <c r="D175" s="144"/>
      <c r="E175" s="145"/>
      <c r="F175" s="146"/>
      <c r="G175" s="47">
        <f>C126+1375074</f>
        <v>5197374</v>
      </c>
    </row>
    <row r="176" spans="1:8" x14ac:dyDescent="0.5">
      <c r="A176" s="51" t="s">
        <v>168</v>
      </c>
      <c r="B176" s="48" t="s">
        <v>169</v>
      </c>
      <c r="C176" s="145">
        <f>C125-500-2400+2328400+413800+2180</f>
        <v>6723970</v>
      </c>
      <c r="D176" s="147"/>
      <c r="E176" s="120"/>
      <c r="F176" s="121"/>
      <c r="G176" s="45">
        <v>1328200</v>
      </c>
    </row>
    <row r="177" spans="1:7" x14ac:dyDescent="0.5">
      <c r="A177" s="51" t="s">
        <v>4</v>
      </c>
      <c r="B177" s="48" t="s">
        <v>62</v>
      </c>
      <c r="C177" s="143">
        <f>C126+1286136</f>
        <v>5108436</v>
      </c>
      <c r="D177" s="144"/>
      <c r="E177" s="145"/>
      <c r="F177" s="146"/>
      <c r="G177" s="45">
        <v>3487720</v>
      </c>
    </row>
    <row r="178" spans="1:7" x14ac:dyDescent="0.5">
      <c r="A178" s="51" t="s">
        <v>180</v>
      </c>
      <c r="B178" s="48" t="s">
        <v>181</v>
      </c>
      <c r="C178" s="145">
        <f>C127+4100</f>
        <v>57300</v>
      </c>
      <c r="D178" s="147"/>
      <c r="E178" s="145"/>
      <c r="F178" s="146"/>
      <c r="G178" s="45">
        <v>3487720</v>
      </c>
    </row>
    <row r="179" spans="1:7" x14ac:dyDescent="0.5">
      <c r="A179" s="51" t="s">
        <v>5</v>
      </c>
      <c r="B179" s="48" t="s">
        <v>62</v>
      </c>
      <c r="C179" s="143">
        <f>C128+616175</f>
        <v>2476320</v>
      </c>
      <c r="D179" s="144"/>
      <c r="E179" s="145"/>
      <c r="F179" s="146"/>
      <c r="G179" s="45">
        <v>1848395</v>
      </c>
    </row>
    <row r="180" spans="1:7" x14ac:dyDescent="0.5">
      <c r="A180" s="51" t="s">
        <v>182</v>
      </c>
      <c r="B180" s="48" t="s">
        <v>181</v>
      </c>
      <c r="C180" s="145">
        <f>C129+1180</f>
        <v>62780</v>
      </c>
      <c r="D180" s="147"/>
      <c r="E180" s="145"/>
      <c r="F180" s="146"/>
      <c r="G180" s="45">
        <v>1848395</v>
      </c>
    </row>
    <row r="181" spans="1:7" x14ac:dyDescent="0.5">
      <c r="A181" s="51" t="s">
        <v>6</v>
      </c>
      <c r="B181" s="48" t="s">
        <v>63</v>
      </c>
      <c r="C181" s="143">
        <f>C130+14500</f>
        <v>73920</v>
      </c>
      <c r="D181" s="144"/>
      <c r="E181" s="145" t="s">
        <v>245</v>
      </c>
      <c r="F181" s="146"/>
    </row>
    <row r="182" spans="1:7" x14ac:dyDescent="0.5">
      <c r="A182" s="51" t="s">
        <v>7</v>
      </c>
      <c r="B182" s="48" t="s">
        <v>64</v>
      </c>
      <c r="C182" s="143">
        <f>C131-1200+1109472</f>
        <v>5413542.4100000001</v>
      </c>
      <c r="D182" s="144"/>
      <c r="E182" s="145"/>
      <c r="F182" s="146"/>
    </row>
    <row r="183" spans="1:7" x14ac:dyDescent="0.5">
      <c r="A183" s="51" t="s">
        <v>172</v>
      </c>
      <c r="B183" s="48" t="s">
        <v>173</v>
      </c>
      <c r="C183" s="145">
        <f>C132+46750</f>
        <v>600960</v>
      </c>
      <c r="D183" s="147"/>
      <c r="E183" s="145"/>
      <c r="F183" s="146"/>
    </row>
    <row r="184" spans="1:7" x14ac:dyDescent="0.5">
      <c r="A184" s="51" t="s">
        <v>8</v>
      </c>
      <c r="B184" s="48" t="s">
        <v>65</v>
      </c>
      <c r="C184" s="143">
        <f>C133+458972</f>
        <v>1305806.3</v>
      </c>
      <c r="D184" s="144"/>
      <c r="E184" s="145"/>
      <c r="F184" s="146"/>
    </row>
    <row r="185" spans="1:7" x14ac:dyDescent="0.5">
      <c r="A185" s="51" t="s">
        <v>9</v>
      </c>
      <c r="B185" s="48" t="s">
        <v>66</v>
      </c>
      <c r="C185" s="143">
        <f>C134+137997.75</f>
        <v>502577.16</v>
      </c>
      <c r="D185" s="144"/>
      <c r="E185" s="145"/>
      <c r="F185" s="146"/>
    </row>
    <row r="186" spans="1:7" x14ac:dyDescent="0.5">
      <c r="A186" s="51" t="s">
        <v>10</v>
      </c>
      <c r="B186" s="48" t="s">
        <v>68</v>
      </c>
      <c r="C186" s="143">
        <f>C135+2779000</f>
        <v>2887600</v>
      </c>
      <c r="D186" s="144"/>
      <c r="E186" s="145"/>
      <c r="F186" s="146"/>
    </row>
    <row r="187" spans="1:7" x14ac:dyDescent="0.5">
      <c r="A187" s="51" t="s">
        <v>11</v>
      </c>
      <c r="B187" s="48" t="s">
        <v>69</v>
      </c>
      <c r="C187" s="143">
        <f>C136+200000</f>
        <v>200000</v>
      </c>
      <c r="D187" s="144"/>
      <c r="E187" s="145"/>
      <c r="F187" s="146"/>
    </row>
    <row r="188" spans="1:7" x14ac:dyDescent="0.5">
      <c r="A188" s="51" t="s">
        <v>183</v>
      </c>
      <c r="B188" s="48" t="s">
        <v>178</v>
      </c>
      <c r="C188" s="145">
        <f>2480000</f>
        <v>2480000</v>
      </c>
      <c r="D188" s="147"/>
      <c r="E188" s="145"/>
      <c r="F188" s="146"/>
    </row>
    <row r="189" spans="1:7" x14ac:dyDescent="0.5">
      <c r="A189" s="51" t="s">
        <v>13</v>
      </c>
      <c r="B189" s="48" t="s">
        <v>67</v>
      </c>
      <c r="C189" s="143">
        <f t="shared" ref="C189:C197" si="4">C137</f>
        <v>1103543.93</v>
      </c>
      <c r="D189" s="144"/>
      <c r="E189" s="145"/>
      <c r="F189" s="146"/>
    </row>
    <row r="190" spans="1:7" x14ac:dyDescent="0.5">
      <c r="A190" s="51" t="s">
        <v>14</v>
      </c>
      <c r="B190" s="48" t="s">
        <v>70</v>
      </c>
      <c r="C190" s="145">
        <f t="shared" si="4"/>
        <v>0</v>
      </c>
      <c r="D190" s="147"/>
      <c r="E190" s="145">
        <f>E138+9606697.27+1246600+2480000+1422222.22+40000+494.25+33900</f>
        <v>56234755.640000001</v>
      </c>
      <c r="F190" s="146"/>
    </row>
    <row r="191" spans="1:7" x14ac:dyDescent="0.5">
      <c r="A191" s="51" t="s">
        <v>45</v>
      </c>
      <c r="B191" s="48" t="s">
        <v>73</v>
      </c>
      <c r="C191" s="145">
        <f t="shared" si="4"/>
        <v>0</v>
      </c>
      <c r="D191" s="147"/>
      <c r="E191" s="145">
        <f>'รายละเอียด(หมายเหตุ2)'!F131</f>
        <v>3041968.83</v>
      </c>
      <c r="F191" s="146"/>
    </row>
    <row r="192" spans="1:7" x14ac:dyDescent="0.5">
      <c r="A192" s="51" t="s">
        <v>113</v>
      </c>
      <c r="B192" s="48" t="s">
        <v>144</v>
      </c>
      <c r="C192" s="145">
        <f t="shared" si="4"/>
        <v>0</v>
      </c>
      <c r="D192" s="147"/>
      <c r="E192" s="145">
        <f>E140-25000</f>
        <v>956839</v>
      </c>
      <c r="F192" s="146"/>
    </row>
    <row r="193" spans="1:8" x14ac:dyDescent="0.5">
      <c r="A193" s="43" t="s">
        <v>110</v>
      </c>
      <c r="B193" s="44" t="s">
        <v>74</v>
      </c>
      <c r="C193" s="145">
        <f t="shared" si="4"/>
        <v>0</v>
      </c>
      <c r="D193" s="147"/>
      <c r="E193" s="145">
        <f>E141-904000</f>
        <v>2180000</v>
      </c>
      <c r="F193" s="146"/>
    </row>
    <row r="194" spans="1:8" x14ac:dyDescent="0.5">
      <c r="A194" s="43" t="s">
        <v>91</v>
      </c>
      <c r="B194" s="44" t="s">
        <v>92</v>
      </c>
      <c r="C194" s="145">
        <f t="shared" si="4"/>
        <v>0</v>
      </c>
      <c r="D194" s="147"/>
      <c r="E194" s="145">
        <f>E142-1106210</f>
        <v>93790</v>
      </c>
      <c r="F194" s="146"/>
    </row>
    <row r="195" spans="1:8" x14ac:dyDescent="0.5">
      <c r="A195" s="51" t="s">
        <v>112</v>
      </c>
      <c r="B195" s="48" t="s">
        <v>127</v>
      </c>
      <c r="C195" s="145">
        <f t="shared" si="4"/>
        <v>0</v>
      </c>
      <c r="D195" s="147"/>
      <c r="E195" s="145">
        <f t="shared" ref="E195:E197" si="5">E143</f>
        <v>57729506.380000003</v>
      </c>
      <c r="F195" s="146"/>
    </row>
    <row r="196" spans="1:8" x14ac:dyDescent="0.5">
      <c r="A196" s="51" t="s">
        <v>15</v>
      </c>
      <c r="B196" s="48" t="s">
        <v>72</v>
      </c>
      <c r="C196" s="145">
        <f t="shared" si="4"/>
        <v>0</v>
      </c>
      <c r="D196" s="147"/>
      <c r="E196" s="145">
        <f>E144-1099500</f>
        <v>60072724.68</v>
      </c>
      <c r="F196" s="146"/>
    </row>
    <row r="197" spans="1:8" x14ac:dyDescent="0.5">
      <c r="A197" s="51" t="s">
        <v>53</v>
      </c>
      <c r="B197" s="48" t="s">
        <v>71</v>
      </c>
      <c r="C197" s="145">
        <f t="shared" si="4"/>
        <v>0</v>
      </c>
      <c r="D197" s="147"/>
      <c r="E197" s="145">
        <f t="shared" si="5"/>
        <v>38466290.329999998</v>
      </c>
      <c r="F197" s="146"/>
    </row>
    <row r="198" spans="1:8" ht="24.75" thickBot="1" x14ac:dyDescent="0.55000000000000004">
      <c r="A198" s="52" t="s">
        <v>44</v>
      </c>
      <c r="B198" s="53"/>
      <c r="C198" s="158">
        <f>SUM(C156:C197)</f>
        <v>218775874.86000004</v>
      </c>
      <c r="D198" s="160"/>
      <c r="E198" s="158">
        <f>SUM(E156:E197)</f>
        <v>218775874.86000001</v>
      </c>
      <c r="F198" s="159"/>
      <c r="G198" s="64">
        <f>C198-E198</f>
        <v>0</v>
      </c>
    </row>
    <row r="199" spans="1:8" ht="16.5" customHeight="1" x14ac:dyDescent="0.5">
      <c r="A199" s="148"/>
      <c r="B199" s="148"/>
      <c r="C199" s="148"/>
      <c r="D199" s="49"/>
      <c r="E199" s="50"/>
      <c r="F199" s="50"/>
    </row>
    <row r="200" spans="1:8" ht="26.25" x14ac:dyDescent="0.55000000000000004">
      <c r="A200" s="58" t="s">
        <v>255</v>
      </c>
      <c r="B200" s="58"/>
      <c r="C200" s="149" t="s">
        <v>117</v>
      </c>
      <c r="D200" s="149"/>
      <c r="E200" s="149"/>
      <c r="F200" s="149"/>
      <c r="H200" s="46" t="s">
        <v>97</v>
      </c>
    </row>
    <row r="201" spans="1:8" ht="26.25" x14ac:dyDescent="0.55000000000000004">
      <c r="A201" s="58" t="s">
        <v>256</v>
      </c>
      <c r="B201" s="58"/>
      <c r="C201" s="141" t="s">
        <v>261</v>
      </c>
      <c r="D201" s="141"/>
      <c r="E201" s="141"/>
      <c r="F201" s="141"/>
    </row>
    <row r="202" spans="1:8" ht="26.25" x14ac:dyDescent="0.55000000000000004">
      <c r="A202" s="59" t="s">
        <v>257</v>
      </c>
      <c r="B202" s="60"/>
      <c r="C202" s="142" t="s">
        <v>262</v>
      </c>
      <c r="D202" s="142"/>
      <c r="E202" s="142"/>
      <c r="F202" s="142"/>
      <c r="G202" s="64" t="e">
        <f>C202-E202</f>
        <v>#VALUE!</v>
      </c>
    </row>
    <row r="203" spans="1:8" x14ac:dyDescent="0.5">
      <c r="A203" s="148" t="s">
        <v>260</v>
      </c>
      <c r="B203" s="148"/>
      <c r="C203" s="148"/>
      <c r="D203" s="49"/>
      <c r="E203" s="50"/>
      <c r="F203" s="50"/>
    </row>
    <row r="204" spans="1:8" ht="26.25" x14ac:dyDescent="0.55000000000000004">
      <c r="A204" s="58" t="s">
        <v>162</v>
      </c>
      <c r="B204" s="58"/>
      <c r="C204" s="149" t="s">
        <v>117</v>
      </c>
      <c r="D204" s="149"/>
      <c r="E204" s="149"/>
      <c r="F204" s="149"/>
    </row>
    <row r="205" spans="1:8" ht="26.25" x14ac:dyDescent="0.55000000000000004">
      <c r="A205" s="58" t="s">
        <v>163</v>
      </c>
      <c r="B205" s="58"/>
      <c r="C205" s="141" t="s">
        <v>258</v>
      </c>
      <c r="D205" s="141"/>
      <c r="E205" s="141"/>
      <c r="F205" s="141"/>
    </row>
    <row r="206" spans="1:8" ht="26.25" x14ac:dyDescent="0.55000000000000004">
      <c r="A206" s="59" t="s">
        <v>147</v>
      </c>
      <c r="B206" s="60"/>
      <c r="C206" s="142" t="s">
        <v>259</v>
      </c>
      <c r="D206" s="142"/>
      <c r="E206" s="142"/>
      <c r="F206" s="142"/>
    </row>
    <row r="207" spans="1:8" x14ac:dyDescent="0.5">
      <c r="A207" s="154" t="s">
        <v>94</v>
      </c>
      <c r="B207" s="154"/>
      <c r="C207" s="154"/>
      <c r="D207" s="154"/>
      <c r="E207" s="154"/>
      <c r="F207" s="154"/>
    </row>
    <row r="208" spans="1:8" x14ac:dyDescent="0.5">
      <c r="A208" s="154" t="s">
        <v>164</v>
      </c>
      <c r="B208" s="154"/>
      <c r="C208" s="154"/>
      <c r="D208" s="154"/>
      <c r="E208" s="154"/>
      <c r="F208" s="154"/>
    </row>
    <row r="209" spans="1:9" ht="24.75" thickBot="1" x14ac:dyDescent="0.55000000000000004">
      <c r="A209" s="155" t="s">
        <v>269</v>
      </c>
      <c r="B209" s="155"/>
      <c r="C209" s="155"/>
      <c r="D209" s="155"/>
      <c r="E209" s="155"/>
      <c r="F209" s="155"/>
    </row>
    <row r="210" spans="1:9" x14ac:dyDescent="0.5">
      <c r="A210" s="156" t="s">
        <v>75</v>
      </c>
      <c r="B210" s="150" t="s">
        <v>1</v>
      </c>
      <c r="C210" s="150" t="s">
        <v>2</v>
      </c>
      <c r="D210" s="150"/>
      <c r="E210" s="150" t="s">
        <v>3</v>
      </c>
      <c r="F210" s="152"/>
    </row>
    <row r="211" spans="1:9" ht="24.75" thickBot="1" x14ac:dyDescent="0.55000000000000004">
      <c r="A211" s="157"/>
      <c r="B211" s="151"/>
      <c r="C211" s="151"/>
      <c r="D211" s="151"/>
      <c r="E211" s="151"/>
      <c r="F211" s="153"/>
    </row>
    <row r="212" spans="1:9" ht="24.75" thickTop="1" x14ac:dyDescent="0.5">
      <c r="A212" s="51" t="s">
        <v>58</v>
      </c>
      <c r="B212" s="48"/>
      <c r="C212" s="145"/>
      <c r="D212" s="147"/>
      <c r="E212" s="145"/>
      <c r="F212" s="146"/>
    </row>
    <row r="213" spans="1:9" x14ac:dyDescent="0.5">
      <c r="A213" s="51" t="s">
        <v>106</v>
      </c>
      <c r="B213" s="48" t="s">
        <v>87</v>
      </c>
      <c r="C213" s="145">
        <f>C157+100086.25+6941740.7-5118415.09</f>
        <v>16704328.479999997</v>
      </c>
      <c r="D213" s="147"/>
      <c r="E213" s="145"/>
      <c r="F213" s="146"/>
    </row>
    <row r="214" spans="1:9" x14ac:dyDescent="0.5">
      <c r="A214" s="51" t="s">
        <v>118</v>
      </c>
      <c r="B214" s="48" t="s">
        <v>90</v>
      </c>
      <c r="C214" s="145">
        <f>C158+6941740.7-6941740.7</f>
        <v>0</v>
      </c>
      <c r="D214" s="147"/>
      <c r="E214" s="145"/>
      <c r="F214" s="146"/>
    </row>
    <row r="215" spans="1:9" x14ac:dyDescent="0.5">
      <c r="A215" s="51" t="s">
        <v>160</v>
      </c>
      <c r="B215" s="48" t="s">
        <v>87</v>
      </c>
      <c r="C215" s="145">
        <f>C159+833272.62</f>
        <v>8186110.6500000004</v>
      </c>
      <c r="D215" s="147"/>
      <c r="E215" s="145"/>
      <c r="F215" s="146"/>
    </row>
    <row r="216" spans="1:9" x14ac:dyDescent="0.5">
      <c r="A216" s="51" t="s">
        <v>161</v>
      </c>
      <c r="B216" s="48" t="s">
        <v>90</v>
      </c>
      <c r="C216" s="145">
        <f t="shared" ref="C216:C244" si="6">C160</f>
        <v>0</v>
      </c>
      <c r="D216" s="147"/>
      <c r="E216" s="145"/>
      <c r="F216" s="146"/>
    </row>
    <row r="217" spans="1:9" x14ac:dyDescent="0.5">
      <c r="A217" s="51" t="s">
        <v>107</v>
      </c>
      <c r="B217" s="48" t="s">
        <v>87</v>
      </c>
      <c r="C217" s="145">
        <f>C161+421428.38</f>
        <v>16335922.060000002</v>
      </c>
      <c r="D217" s="147"/>
      <c r="E217" s="145"/>
      <c r="F217" s="146"/>
    </row>
    <row r="218" spans="1:9" x14ac:dyDescent="0.5">
      <c r="A218" s="51" t="s">
        <v>108</v>
      </c>
      <c r="B218" s="48" t="s">
        <v>87</v>
      </c>
      <c r="C218" s="145">
        <f>C162-22336.45</f>
        <v>1045488.21</v>
      </c>
      <c r="D218" s="147"/>
      <c r="E218" s="145"/>
      <c r="F218" s="146"/>
    </row>
    <row r="219" spans="1:9" x14ac:dyDescent="0.5">
      <c r="A219" s="51" t="s">
        <v>179</v>
      </c>
      <c r="B219" s="48" t="s">
        <v>87</v>
      </c>
      <c r="C219" s="145">
        <f t="shared" si="6"/>
        <v>1750216.8</v>
      </c>
      <c r="D219" s="147"/>
      <c r="E219" s="145"/>
      <c r="F219" s="146"/>
    </row>
    <row r="220" spans="1:9" x14ac:dyDescent="0.5">
      <c r="A220" s="51" t="s">
        <v>109</v>
      </c>
      <c r="B220" s="48" t="s">
        <v>88</v>
      </c>
      <c r="C220" s="145">
        <f t="shared" si="6"/>
        <v>36173541.68999999</v>
      </c>
      <c r="D220" s="147"/>
      <c r="E220" s="145"/>
      <c r="F220" s="146"/>
    </row>
    <row r="221" spans="1:9" x14ac:dyDescent="0.5">
      <c r="A221" s="51" t="s">
        <v>153</v>
      </c>
      <c r="B221" s="48" t="s">
        <v>88</v>
      </c>
      <c r="C221" s="145">
        <f t="shared" si="6"/>
        <v>15137749.790000001</v>
      </c>
      <c r="D221" s="147"/>
      <c r="E221" s="145"/>
      <c r="F221" s="146"/>
      <c r="G221" s="64">
        <f>C213+C214+C215+C217+C218+C219+C220+C221</f>
        <v>95333357.679999992</v>
      </c>
      <c r="H221" s="46">
        <v>78962253.129999995</v>
      </c>
      <c r="I221" s="64">
        <f>G221-H221</f>
        <v>16371104.549999997</v>
      </c>
    </row>
    <row r="222" spans="1:9" x14ac:dyDescent="0.5">
      <c r="A222" s="43" t="s">
        <v>114</v>
      </c>
      <c r="B222" s="44" t="s">
        <v>139</v>
      </c>
      <c r="C222" s="145">
        <f t="shared" si="6"/>
        <v>166839</v>
      </c>
      <c r="D222" s="147"/>
      <c r="E222" s="161"/>
      <c r="F222" s="162"/>
    </row>
    <row r="223" spans="1:9" x14ac:dyDescent="0.5">
      <c r="A223" s="51" t="s">
        <v>111</v>
      </c>
      <c r="B223" s="48" t="s">
        <v>125</v>
      </c>
      <c r="C223" s="145">
        <f t="shared" si="6"/>
        <v>13579511.350000001</v>
      </c>
      <c r="D223" s="147"/>
      <c r="E223" s="145"/>
      <c r="F223" s="146"/>
    </row>
    <row r="224" spans="1:9" x14ac:dyDescent="0.5">
      <c r="A224" s="51" t="s">
        <v>115</v>
      </c>
      <c r="B224" s="48" t="s">
        <v>126</v>
      </c>
      <c r="C224" s="145">
        <f t="shared" si="6"/>
        <v>81353788.239999995</v>
      </c>
      <c r="D224" s="147"/>
      <c r="E224" s="145"/>
      <c r="F224" s="146"/>
    </row>
    <row r="225" spans="1:6" x14ac:dyDescent="0.5">
      <c r="A225" s="51" t="s">
        <v>128</v>
      </c>
      <c r="B225" s="48" t="s">
        <v>60</v>
      </c>
      <c r="C225" s="145">
        <f>C169+3886</f>
        <v>12778</v>
      </c>
      <c r="D225" s="147"/>
      <c r="E225" s="145"/>
      <c r="F225" s="146"/>
    </row>
    <row r="226" spans="1:6" x14ac:dyDescent="0.5">
      <c r="A226" s="51" t="s">
        <v>55</v>
      </c>
      <c r="B226" s="48" t="s">
        <v>59</v>
      </c>
      <c r="C226" s="145">
        <f>C170+21800</f>
        <v>456900</v>
      </c>
      <c r="D226" s="147"/>
      <c r="E226" s="145"/>
      <c r="F226" s="146"/>
    </row>
    <row r="227" spans="1:6" x14ac:dyDescent="0.5">
      <c r="A227" s="51" t="s">
        <v>129</v>
      </c>
      <c r="B227" s="48" t="s">
        <v>140</v>
      </c>
      <c r="C227" s="145">
        <f>C171-1750</f>
        <v>210950</v>
      </c>
      <c r="D227" s="147"/>
      <c r="E227" s="145"/>
      <c r="F227" s="146"/>
    </row>
    <row r="228" spans="1:6" x14ac:dyDescent="0.5">
      <c r="A228" s="51" t="s">
        <v>130</v>
      </c>
      <c r="B228" s="48" t="s">
        <v>141</v>
      </c>
      <c r="C228" s="145">
        <f>C172-6000</f>
        <v>171974</v>
      </c>
      <c r="D228" s="147"/>
      <c r="E228" s="145"/>
      <c r="F228" s="146"/>
    </row>
    <row r="229" spans="1:6" x14ac:dyDescent="0.5">
      <c r="A229" s="51" t="s">
        <v>131</v>
      </c>
      <c r="B229" s="48" t="s">
        <v>142</v>
      </c>
      <c r="C229" s="145">
        <f>C173-2045.35</f>
        <v>8213.7000000000007</v>
      </c>
      <c r="D229" s="147"/>
      <c r="E229" s="145"/>
      <c r="F229" s="146"/>
    </row>
    <row r="230" spans="1:6" x14ac:dyDescent="0.5">
      <c r="A230" s="51" t="s">
        <v>132</v>
      </c>
      <c r="B230" s="48" t="s">
        <v>143</v>
      </c>
      <c r="C230" s="145">
        <f>C174-600</f>
        <v>39470</v>
      </c>
      <c r="D230" s="147"/>
      <c r="E230" s="145"/>
      <c r="F230" s="146"/>
    </row>
    <row r="231" spans="1:6" x14ac:dyDescent="0.5">
      <c r="A231" s="51" t="s">
        <v>12</v>
      </c>
      <c r="B231" s="48" t="s">
        <v>61</v>
      </c>
      <c r="C231" s="145">
        <f>C175</f>
        <v>1616404.15</v>
      </c>
      <c r="D231" s="147"/>
      <c r="E231" s="145"/>
      <c r="F231" s="146"/>
    </row>
    <row r="232" spans="1:6" x14ac:dyDescent="0.5">
      <c r="A232" s="51" t="s">
        <v>168</v>
      </c>
      <c r="B232" s="48" t="s">
        <v>169</v>
      </c>
      <c r="C232" s="145">
        <f>C176-800-1300</f>
        <v>6721870</v>
      </c>
      <c r="D232" s="147"/>
      <c r="E232" s="129"/>
      <c r="F232" s="130"/>
    </row>
    <row r="233" spans="1:6" x14ac:dyDescent="0.5">
      <c r="A233" s="51" t="s">
        <v>4</v>
      </c>
      <c r="B233" s="48" t="s">
        <v>62</v>
      </c>
      <c r="C233" s="145">
        <f>C177+1287920</f>
        <v>6396356</v>
      </c>
      <c r="D233" s="147"/>
      <c r="E233" s="145"/>
      <c r="F233" s="146"/>
    </row>
    <row r="234" spans="1:6" x14ac:dyDescent="0.5">
      <c r="A234" s="51" t="s">
        <v>180</v>
      </c>
      <c r="B234" s="48" t="s">
        <v>181</v>
      </c>
      <c r="C234" s="145">
        <f>C178+19100</f>
        <v>76400</v>
      </c>
      <c r="D234" s="147"/>
      <c r="E234" s="145"/>
      <c r="F234" s="146"/>
    </row>
    <row r="235" spans="1:6" x14ac:dyDescent="0.5">
      <c r="A235" s="51" t="s">
        <v>5</v>
      </c>
      <c r="B235" s="48" t="s">
        <v>62</v>
      </c>
      <c r="C235" s="145">
        <f>C179+616175</f>
        <v>3092495</v>
      </c>
      <c r="D235" s="147"/>
      <c r="E235" s="145"/>
      <c r="F235" s="146"/>
    </row>
    <row r="236" spans="1:6" x14ac:dyDescent="0.5">
      <c r="A236" s="51" t="s">
        <v>182</v>
      </c>
      <c r="B236" s="48" t="s">
        <v>181</v>
      </c>
      <c r="C236" s="145">
        <f t="shared" si="6"/>
        <v>62780</v>
      </c>
      <c r="D236" s="147"/>
      <c r="E236" s="145"/>
      <c r="F236" s="146"/>
    </row>
    <row r="237" spans="1:6" x14ac:dyDescent="0.5">
      <c r="A237" s="51" t="s">
        <v>6</v>
      </c>
      <c r="B237" s="48" t="s">
        <v>63</v>
      </c>
      <c r="C237" s="145">
        <f>C181+41000</f>
        <v>114920</v>
      </c>
      <c r="D237" s="147"/>
      <c r="E237" s="145" t="s">
        <v>245</v>
      </c>
      <c r="F237" s="146"/>
    </row>
    <row r="238" spans="1:6" x14ac:dyDescent="0.5">
      <c r="A238" s="51" t="s">
        <v>7</v>
      </c>
      <c r="B238" s="48" t="s">
        <v>64</v>
      </c>
      <c r="C238" s="145">
        <f>C182+1315315+503000</f>
        <v>7231857.4100000001</v>
      </c>
      <c r="D238" s="147"/>
      <c r="E238" s="145"/>
      <c r="F238" s="146"/>
    </row>
    <row r="239" spans="1:6" x14ac:dyDescent="0.5">
      <c r="A239" s="51" t="s">
        <v>172</v>
      </c>
      <c r="B239" s="48" t="s">
        <v>173</v>
      </c>
      <c r="C239" s="145">
        <f t="shared" si="6"/>
        <v>600960</v>
      </c>
      <c r="D239" s="147"/>
      <c r="E239" s="145"/>
      <c r="F239" s="146"/>
    </row>
    <row r="240" spans="1:6" x14ac:dyDescent="0.5">
      <c r="A240" s="51" t="s">
        <v>8</v>
      </c>
      <c r="B240" s="48" t="s">
        <v>65</v>
      </c>
      <c r="C240" s="145">
        <f>C184+264806</f>
        <v>1570612.3</v>
      </c>
      <c r="D240" s="147"/>
      <c r="E240" s="145"/>
      <c r="F240" s="146"/>
    </row>
    <row r="241" spans="1:7" x14ac:dyDescent="0.5">
      <c r="A241" s="51" t="s">
        <v>9</v>
      </c>
      <c r="B241" s="48" t="s">
        <v>66</v>
      </c>
      <c r="C241" s="145">
        <f>C185+94017.14</f>
        <v>596594.29999999993</v>
      </c>
      <c r="D241" s="147"/>
      <c r="E241" s="145"/>
      <c r="F241" s="146"/>
    </row>
    <row r="242" spans="1:7" x14ac:dyDescent="0.5">
      <c r="A242" s="51" t="s">
        <v>10</v>
      </c>
      <c r="B242" s="48" t="s">
        <v>68</v>
      </c>
      <c r="C242" s="145">
        <f>C186+250000</f>
        <v>3137600</v>
      </c>
      <c r="D242" s="147"/>
      <c r="E242" s="145"/>
      <c r="F242" s="146"/>
    </row>
    <row r="243" spans="1:7" x14ac:dyDescent="0.5">
      <c r="A243" s="51" t="s">
        <v>11</v>
      </c>
      <c r="B243" s="48" t="s">
        <v>69</v>
      </c>
      <c r="C243" s="145">
        <f t="shared" si="6"/>
        <v>200000</v>
      </c>
      <c r="D243" s="147"/>
      <c r="E243" s="145"/>
      <c r="F243" s="146"/>
    </row>
    <row r="244" spans="1:7" x14ac:dyDescent="0.5">
      <c r="A244" s="51" t="s">
        <v>183</v>
      </c>
      <c r="B244" s="48" t="s">
        <v>178</v>
      </c>
      <c r="C244" s="145">
        <f t="shared" si="6"/>
        <v>2480000</v>
      </c>
      <c r="D244" s="147"/>
      <c r="E244" s="145"/>
      <c r="F244" s="146"/>
    </row>
    <row r="245" spans="1:7" x14ac:dyDescent="0.5">
      <c r="A245" s="51" t="s">
        <v>13</v>
      </c>
      <c r="B245" s="48" t="s">
        <v>67</v>
      </c>
      <c r="C245" s="145">
        <f>C189-503000</f>
        <v>600543.92999999993</v>
      </c>
      <c r="D245" s="147"/>
      <c r="E245" s="145"/>
      <c r="F245" s="146"/>
    </row>
    <row r="246" spans="1:7" x14ac:dyDescent="0.5">
      <c r="A246" s="51" t="s">
        <v>14</v>
      </c>
      <c r="B246" s="48" t="s">
        <v>70</v>
      </c>
      <c r="C246" s="145">
        <f t="shared" ref="C246:C251" si="7">C194</f>
        <v>0</v>
      </c>
      <c r="D246" s="147"/>
      <c r="E246" s="145">
        <f>E190+7917432.82+57300+32700+1635+494.25</f>
        <v>64244317.710000001</v>
      </c>
      <c r="F246" s="146"/>
    </row>
    <row r="247" spans="1:7" x14ac:dyDescent="0.5">
      <c r="A247" s="51" t="s">
        <v>45</v>
      </c>
      <c r="B247" s="48" t="s">
        <v>73</v>
      </c>
      <c r="C247" s="145">
        <f t="shared" si="7"/>
        <v>0</v>
      </c>
      <c r="D247" s="147"/>
      <c r="E247" s="145">
        <f>'รายละเอียด(หมายเหตุ2)'!F171</f>
        <v>2489706.96</v>
      </c>
      <c r="F247" s="146"/>
    </row>
    <row r="248" spans="1:7" x14ac:dyDescent="0.5">
      <c r="A248" s="51" t="s">
        <v>113</v>
      </c>
      <c r="B248" s="48" t="s">
        <v>144</v>
      </c>
      <c r="C248" s="145">
        <f t="shared" si="7"/>
        <v>0</v>
      </c>
      <c r="D248" s="147"/>
      <c r="E248" s="145">
        <f t="shared" ref="E248:E253" si="8">E192</f>
        <v>956839</v>
      </c>
      <c r="F248" s="146"/>
    </row>
    <row r="249" spans="1:7" x14ac:dyDescent="0.5">
      <c r="A249" s="43" t="s">
        <v>110</v>
      </c>
      <c r="B249" s="44" t="s">
        <v>74</v>
      </c>
      <c r="C249" s="145">
        <f t="shared" si="7"/>
        <v>0</v>
      </c>
      <c r="D249" s="147"/>
      <c r="E249" s="145">
        <f t="shared" si="8"/>
        <v>2180000</v>
      </c>
      <c r="F249" s="146"/>
    </row>
    <row r="250" spans="1:7" x14ac:dyDescent="0.5">
      <c r="A250" s="43" t="s">
        <v>91</v>
      </c>
      <c r="B250" s="44" t="s">
        <v>92</v>
      </c>
      <c r="C250" s="145"/>
      <c r="D250" s="147"/>
      <c r="E250" s="145">
        <f t="shared" si="8"/>
        <v>93790</v>
      </c>
      <c r="F250" s="146"/>
    </row>
    <row r="251" spans="1:7" x14ac:dyDescent="0.5">
      <c r="A251" s="51" t="s">
        <v>112</v>
      </c>
      <c r="B251" s="48" t="s">
        <v>127</v>
      </c>
      <c r="C251" s="145">
        <f t="shared" si="7"/>
        <v>0</v>
      </c>
      <c r="D251" s="147"/>
      <c r="E251" s="145">
        <f t="shared" si="8"/>
        <v>57729506.380000003</v>
      </c>
      <c r="F251" s="146"/>
    </row>
    <row r="252" spans="1:7" x14ac:dyDescent="0.5">
      <c r="A252" s="51" t="s">
        <v>15</v>
      </c>
      <c r="B252" s="48" t="s">
        <v>72</v>
      </c>
      <c r="C252" s="145"/>
      <c r="D252" s="147"/>
      <c r="E252" s="145">
        <f>E196-400000</f>
        <v>59672724.68</v>
      </c>
      <c r="F252" s="146"/>
    </row>
    <row r="253" spans="1:7" x14ac:dyDescent="0.5">
      <c r="A253" s="51" t="s">
        <v>53</v>
      </c>
      <c r="B253" s="48" t="s">
        <v>71</v>
      </c>
      <c r="C253" s="145"/>
      <c r="D253" s="147"/>
      <c r="E253" s="145">
        <f t="shared" si="8"/>
        <v>38466290.329999998</v>
      </c>
      <c r="F253" s="146"/>
    </row>
    <row r="254" spans="1:7" ht="24.75" thickBot="1" x14ac:dyDescent="0.55000000000000004">
      <c r="A254" s="52" t="s">
        <v>44</v>
      </c>
      <c r="B254" s="53"/>
      <c r="C254" s="158">
        <f>SUM(C212:C253)</f>
        <v>225833175.06</v>
      </c>
      <c r="D254" s="160"/>
      <c r="E254" s="158">
        <f>SUM(E212:E253)</f>
        <v>225833175.06</v>
      </c>
      <c r="F254" s="159"/>
      <c r="G254" s="64">
        <f>C254-E254</f>
        <v>0</v>
      </c>
    </row>
    <row r="255" spans="1:7" x14ac:dyDescent="0.5">
      <c r="A255" s="148"/>
      <c r="B255" s="148"/>
      <c r="C255" s="148"/>
      <c r="D255" s="49"/>
      <c r="E255" s="50"/>
      <c r="F255" s="50"/>
    </row>
    <row r="256" spans="1:7" ht="26.25" x14ac:dyDescent="0.55000000000000004">
      <c r="A256" s="58" t="s">
        <v>255</v>
      </c>
      <c r="B256" s="58"/>
      <c r="C256" s="149" t="s">
        <v>117</v>
      </c>
      <c r="D256" s="149"/>
      <c r="E256" s="149"/>
      <c r="F256" s="149"/>
    </row>
    <row r="257" spans="1:6" ht="26.25" x14ac:dyDescent="0.55000000000000004">
      <c r="A257" s="58" t="s">
        <v>256</v>
      </c>
      <c r="B257" s="58"/>
      <c r="C257" s="141" t="s">
        <v>261</v>
      </c>
      <c r="D257" s="141"/>
      <c r="E257" s="141"/>
      <c r="F257" s="141"/>
    </row>
    <row r="258" spans="1:6" ht="26.25" x14ac:dyDescent="0.55000000000000004">
      <c r="A258" s="59" t="s">
        <v>257</v>
      </c>
      <c r="B258" s="60"/>
      <c r="C258" s="142" t="s">
        <v>262</v>
      </c>
      <c r="D258" s="142"/>
      <c r="E258" s="142"/>
      <c r="F258" s="142"/>
    </row>
    <row r="259" spans="1:6" x14ac:dyDescent="0.5">
      <c r="A259" s="148" t="s">
        <v>260</v>
      </c>
      <c r="B259" s="148"/>
      <c r="C259" s="148"/>
      <c r="D259" s="49"/>
      <c r="E259" s="50"/>
      <c r="F259" s="50"/>
    </row>
    <row r="260" spans="1:6" x14ac:dyDescent="0.5">
      <c r="A260" s="154" t="s">
        <v>94</v>
      </c>
      <c r="B260" s="154"/>
      <c r="C260" s="154"/>
      <c r="D260" s="154"/>
      <c r="E260" s="154"/>
      <c r="F260" s="154"/>
    </row>
    <row r="261" spans="1:6" x14ac:dyDescent="0.5">
      <c r="A261" s="154" t="s">
        <v>164</v>
      </c>
      <c r="B261" s="154"/>
      <c r="C261" s="154"/>
      <c r="D261" s="154"/>
      <c r="E261" s="154"/>
      <c r="F261" s="154"/>
    </row>
    <row r="262" spans="1:6" ht="24.75" thickBot="1" x14ac:dyDescent="0.55000000000000004">
      <c r="A262" s="155" t="s">
        <v>273</v>
      </c>
      <c r="B262" s="155"/>
      <c r="C262" s="155"/>
      <c r="D262" s="155"/>
      <c r="E262" s="155"/>
      <c r="F262" s="155"/>
    </row>
    <row r="263" spans="1:6" x14ac:dyDescent="0.5">
      <c r="A263" s="156" t="s">
        <v>75</v>
      </c>
      <c r="B263" s="150" t="s">
        <v>1</v>
      </c>
      <c r="C263" s="150" t="s">
        <v>2</v>
      </c>
      <c r="D263" s="150"/>
      <c r="E263" s="150" t="s">
        <v>3</v>
      </c>
      <c r="F263" s="152"/>
    </row>
    <row r="264" spans="1:6" ht="24.75" thickBot="1" x14ac:dyDescent="0.55000000000000004">
      <c r="A264" s="157"/>
      <c r="B264" s="151"/>
      <c r="C264" s="151"/>
      <c r="D264" s="151"/>
      <c r="E264" s="151"/>
      <c r="F264" s="153"/>
    </row>
    <row r="265" spans="1:6" ht="24.75" thickTop="1" x14ac:dyDescent="0.5">
      <c r="A265" s="51" t="s">
        <v>58</v>
      </c>
      <c r="B265" s="48"/>
      <c r="C265" s="145"/>
      <c r="D265" s="147"/>
      <c r="E265" s="145"/>
      <c r="F265" s="146"/>
    </row>
    <row r="266" spans="1:6" x14ac:dyDescent="0.5">
      <c r="A266" s="51" t="s">
        <v>106</v>
      </c>
      <c r="B266" s="48" t="s">
        <v>87</v>
      </c>
      <c r="C266" s="145" t="str">
        <f>C210</f>
        <v>เดบิท</v>
      </c>
      <c r="D266" s="147"/>
      <c r="E266" s="145"/>
      <c r="F266" s="146"/>
    </row>
    <row r="267" spans="1:6" x14ac:dyDescent="0.5">
      <c r="A267" s="51" t="s">
        <v>118</v>
      </c>
      <c r="B267" s="48" t="s">
        <v>90</v>
      </c>
      <c r="C267" s="145">
        <f t="shared" ref="C267:C298" si="9">C211</f>
        <v>0</v>
      </c>
      <c r="D267" s="147"/>
      <c r="E267" s="145"/>
      <c r="F267" s="146"/>
    </row>
    <row r="268" spans="1:6" x14ac:dyDescent="0.5">
      <c r="A268" s="51" t="s">
        <v>160</v>
      </c>
      <c r="B268" s="48" t="s">
        <v>87</v>
      </c>
      <c r="C268" s="145">
        <f t="shared" si="9"/>
        <v>0</v>
      </c>
      <c r="D268" s="147"/>
      <c r="E268" s="145"/>
      <c r="F268" s="146"/>
    </row>
    <row r="269" spans="1:6" x14ac:dyDescent="0.5">
      <c r="A269" s="51" t="s">
        <v>161</v>
      </c>
      <c r="B269" s="48" t="s">
        <v>90</v>
      </c>
      <c r="C269" s="145">
        <f t="shared" si="9"/>
        <v>16704328.479999997</v>
      </c>
      <c r="D269" s="147"/>
      <c r="E269" s="145"/>
      <c r="F269" s="146"/>
    </row>
    <row r="270" spans="1:6" x14ac:dyDescent="0.5">
      <c r="A270" s="51" t="s">
        <v>107</v>
      </c>
      <c r="B270" s="48" t="s">
        <v>87</v>
      </c>
      <c r="C270" s="145">
        <f t="shared" si="9"/>
        <v>0</v>
      </c>
      <c r="D270" s="147"/>
      <c r="E270" s="145"/>
      <c r="F270" s="146"/>
    </row>
    <row r="271" spans="1:6" x14ac:dyDescent="0.5">
      <c r="A271" s="51" t="s">
        <v>108</v>
      </c>
      <c r="B271" s="48" t="s">
        <v>87</v>
      </c>
      <c r="C271" s="145">
        <f t="shared" si="9"/>
        <v>8186110.6500000004</v>
      </c>
      <c r="D271" s="147"/>
      <c r="E271" s="145"/>
      <c r="F271" s="146"/>
    </row>
    <row r="272" spans="1:6" x14ac:dyDescent="0.5">
      <c r="A272" s="51" t="s">
        <v>179</v>
      </c>
      <c r="B272" s="48" t="s">
        <v>87</v>
      </c>
      <c r="C272" s="145">
        <f t="shared" si="9"/>
        <v>0</v>
      </c>
      <c r="D272" s="147"/>
      <c r="E272" s="145"/>
      <c r="F272" s="146"/>
    </row>
    <row r="273" spans="1:6" x14ac:dyDescent="0.5">
      <c r="A273" s="51" t="s">
        <v>109</v>
      </c>
      <c r="B273" s="48" t="s">
        <v>88</v>
      </c>
      <c r="C273" s="145">
        <f t="shared" si="9"/>
        <v>16335922.060000002</v>
      </c>
      <c r="D273" s="147"/>
      <c r="E273" s="145"/>
      <c r="F273" s="146"/>
    </row>
    <row r="274" spans="1:6" x14ac:dyDescent="0.5">
      <c r="A274" s="51" t="s">
        <v>153</v>
      </c>
      <c r="B274" s="48" t="s">
        <v>88</v>
      </c>
      <c r="C274" s="145">
        <f t="shared" si="9"/>
        <v>1045488.21</v>
      </c>
      <c r="D274" s="147"/>
      <c r="E274" s="145"/>
      <c r="F274" s="146"/>
    </row>
    <row r="275" spans="1:6" x14ac:dyDescent="0.5">
      <c r="A275" s="43" t="s">
        <v>114</v>
      </c>
      <c r="B275" s="44" t="s">
        <v>139</v>
      </c>
      <c r="C275" s="145">
        <f t="shared" si="9"/>
        <v>1750216.8</v>
      </c>
      <c r="D275" s="147"/>
      <c r="E275" s="161"/>
      <c r="F275" s="162"/>
    </row>
    <row r="276" spans="1:6" x14ac:dyDescent="0.5">
      <c r="A276" s="51" t="s">
        <v>111</v>
      </c>
      <c r="B276" s="48" t="s">
        <v>125</v>
      </c>
      <c r="C276" s="145">
        <f t="shared" si="9"/>
        <v>36173541.68999999</v>
      </c>
      <c r="D276" s="147"/>
      <c r="E276" s="145"/>
      <c r="F276" s="146"/>
    </row>
    <row r="277" spans="1:6" x14ac:dyDescent="0.5">
      <c r="A277" s="51" t="s">
        <v>115</v>
      </c>
      <c r="B277" s="48" t="s">
        <v>126</v>
      </c>
      <c r="C277" s="145">
        <f t="shared" si="9"/>
        <v>15137749.790000001</v>
      </c>
      <c r="D277" s="147"/>
      <c r="E277" s="145"/>
      <c r="F277" s="146"/>
    </row>
    <row r="278" spans="1:6" x14ac:dyDescent="0.5">
      <c r="A278" s="51" t="s">
        <v>128</v>
      </c>
      <c r="B278" s="48" t="s">
        <v>60</v>
      </c>
      <c r="C278" s="145">
        <f t="shared" si="9"/>
        <v>166839</v>
      </c>
      <c r="D278" s="147"/>
      <c r="E278" s="145"/>
      <c r="F278" s="146"/>
    </row>
    <row r="279" spans="1:6" x14ac:dyDescent="0.5">
      <c r="A279" s="51" t="s">
        <v>55</v>
      </c>
      <c r="B279" s="48" t="s">
        <v>59</v>
      </c>
      <c r="C279" s="145">
        <f t="shared" si="9"/>
        <v>13579511.350000001</v>
      </c>
      <c r="D279" s="147"/>
      <c r="E279" s="145"/>
      <c r="F279" s="146"/>
    </row>
    <row r="280" spans="1:6" x14ac:dyDescent="0.5">
      <c r="A280" s="51" t="s">
        <v>129</v>
      </c>
      <c r="B280" s="48" t="s">
        <v>140</v>
      </c>
      <c r="C280" s="145">
        <f t="shared" si="9"/>
        <v>81353788.239999995</v>
      </c>
      <c r="D280" s="147"/>
      <c r="E280" s="145"/>
      <c r="F280" s="146"/>
    </row>
    <row r="281" spans="1:6" x14ac:dyDescent="0.5">
      <c r="A281" s="51" t="s">
        <v>130</v>
      </c>
      <c r="B281" s="48" t="s">
        <v>141</v>
      </c>
      <c r="C281" s="145">
        <f t="shared" si="9"/>
        <v>12778</v>
      </c>
      <c r="D281" s="147"/>
      <c r="E281" s="145"/>
      <c r="F281" s="146"/>
    </row>
    <row r="282" spans="1:6" x14ac:dyDescent="0.5">
      <c r="A282" s="51" t="s">
        <v>131</v>
      </c>
      <c r="B282" s="48" t="s">
        <v>142</v>
      </c>
      <c r="C282" s="145">
        <f t="shared" si="9"/>
        <v>456900</v>
      </c>
      <c r="D282" s="147"/>
      <c r="E282" s="145"/>
      <c r="F282" s="146"/>
    </row>
    <row r="283" spans="1:6" x14ac:dyDescent="0.5">
      <c r="A283" s="51" t="s">
        <v>132</v>
      </c>
      <c r="B283" s="48" t="s">
        <v>143</v>
      </c>
      <c r="C283" s="145">
        <f t="shared" si="9"/>
        <v>210950</v>
      </c>
      <c r="D283" s="147"/>
      <c r="E283" s="145"/>
      <c r="F283" s="146"/>
    </row>
    <row r="284" spans="1:6" x14ac:dyDescent="0.5">
      <c r="A284" s="51" t="s">
        <v>12</v>
      </c>
      <c r="B284" s="48" t="s">
        <v>61</v>
      </c>
      <c r="C284" s="145">
        <f t="shared" si="9"/>
        <v>171974</v>
      </c>
      <c r="D284" s="147"/>
      <c r="E284" s="145"/>
      <c r="F284" s="146"/>
    </row>
    <row r="285" spans="1:6" x14ac:dyDescent="0.5">
      <c r="A285" s="51" t="s">
        <v>168</v>
      </c>
      <c r="B285" s="48" t="s">
        <v>169</v>
      </c>
      <c r="C285" s="145">
        <f t="shared" si="9"/>
        <v>8213.7000000000007</v>
      </c>
      <c r="D285" s="147"/>
      <c r="E285" s="138"/>
      <c r="F285" s="139"/>
    </row>
    <row r="286" spans="1:6" x14ac:dyDescent="0.5">
      <c r="A286" s="51" t="s">
        <v>4</v>
      </c>
      <c r="B286" s="48" t="s">
        <v>62</v>
      </c>
      <c r="C286" s="145">
        <f t="shared" si="9"/>
        <v>39470</v>
      </c>
      <c r="D286" s="147"/>
      <c r="E286" s="145"/>
      <c r="F286" s="146"/>
    </row>
    <row r="287" spans="1:6" x14ac:dyDescent="0.5">
      <c r="A287" s="51" t="s">
        <v>180</v>
      </c>
      <c r="B287" s="48" t="s">
        <v>181</v>
      </c>
      <c r="C287" s="145">
        <f t="shared" si="9"/>
        <v>1616404.15</v>
      </c>
      <c r="D287" s="147"/>
      <c r="E287" s="145"/>
      <c r="F287" s="146"/>
    </row>
    <row r="288" spans="1:6" x14ac:dyDescent="0.5">
      <c r="A288" s="51" t="s">
        <v>5</v>
      </c>
      <c r="B288" s="48" t="s">
        <v>62</v>
      </c>
      <c r="C288" s="145">
        <f t="shared" si="9"/>
        <v>6721870</v>
      </c>
      <c r="D288" s="147"/>
      <c r="E288" s="145"/>
      <c r="F288" s="146"/>
    </row>
    <row r="289" spans="1:6" x14ac:dyDescent="0.5">
      <c r="A289" s="51" t="s">
        <v>182</v>
      </c>
      <c r="B289" s="48" t="s">
        <v>181</v>
      </c>
      <c r="C289" s="145">
        <f t="shared" si="9"/>
        <v>6396356</v>
      </c>
      <c r="D289" s="147"/>
      <c r="E289" s="145"/>
      <c r="F289" s="146"/>
    </row>
    <row r="290" spans="1:6" x14ac:dyDescent="0.5">
      <c r="A290" s="51" t="s">
        <v>6</v>
      </c>
      <c r="B290" s="48" t="s">
        <v>63</v>
      </c>
      <c r="C290" s="145">
        <f t="shared" si="9"/>
        <v>76400</v>
      </c>
      <c r="D290" s="147"/>
      <c r="E290" s="145" t="s">
        <v>245</v>
      </c>
      <c r="F290" s="146"/>
    </row>
    <row r="291" spans="1:6" x14ac:dyDescent="0.5">
      <c r="A291" s="51" t="s">
        <v>7</v>
      </c>
      <c r="B291" s="48" t="s">
        <v>64</v>
      </c>
      <c r="C291" s="145">
        <f t="shared" si="9"/>
        <v>3092495</v>
      </c>
      <c r="D291" s="147"/>
      <c r="E291" s="145"/>
      <c r="F291" s="146"/>
    </row>
    <row r="292" spans="1:6" x14ac:dyDescent="0.5">
      <c r="A292" s="51" t="s">
        <v>172</v>
      </c>
      <c r="B292" s="48" t="s">
        <v>173</v>
      </c>
      <c r="C292" s="145">
        <f t="shared" si="9"/>
        <v>62780</v>
      </c>
      <c r="D292" s="147"/>
      <c r="E292" s="145"/>
      <c r="F292" s="146"/>
    </row>
    <row r="293" spans="1:6" x14ac:dyDescent="0.5">
      <c r="A293" s="51" t="s">
        <v>8</v>
      </c>
      <c r="B293" s="48" t="s">
        <v>65</v>
      </c>
      <c r="C293" s="145">
        <f t="shared" si="9"/>
        <v>114920</v>
      </c>
      <c r="D293" s="147"/>
      <c r="E293" s="145"/>
      <c r="F293" s="146"/>
    </row>
    <row r="294" spans="1:6" x14ac:dyDescent="0.5">
      <c r="A294" s="51" t="s">
        <v>9</v>
      </c>
      <c r="B294" s="48" t="s">
        <v>66</v>
      </c>
      <c r="C294" s="145">
        <f t="shared" si="9"/>
        <v>7231857.4100000001</v>
      </c>
      <c r="D294" s="147"/>
      <c r="E294" s="145"/>
      <c r="F294" s="146"/>
    </row>
    <row r="295" spans="1:6" x14ac:dyDescent="0.5">
      <c r="A295" s="51" t="s">
        <v>10</v>
      </c>
      <c r="B295" s="48" t="s">
        <v>68</v>
      </c>
      <c r="C295" s="145">
        <f t="shared" si="9"/>
        <v>600960</v>
      </c>
      <c r="D295" s="147"/>
      <c r="E295" s="145"/>
      <c r="F295" s="146"/>
    </row>
    <row r="296" spans="1:6" x14ac:dyDescent="0.5">
      <c r="A296" s="51" t="s">
        <v>11</v>
      </c>
      <c r="B296" s="48" t="s">
        <v>69</v>
      </c>
      <c r="C296" s="145">
        <f t="shared" si="9"/>
        <v>1570612.3</v>
      </c>
      <c r="D296" s="147"/>
      <c r="E296" s="145"/>
      <c r="F296" s="146"/>
    </row>
    <row r="297" spans="1:6" x14ac:dyDescent="0.5">
      <c r="A297" s="51" t="s">
        <v>183</v>
      </c>
      <c r="B297" s="48" t="s">
        <v>178</v>
      </c>
      <c r="C297" s="145">
        <f t="shared" si="9"/>
        <v>596594.29999999993</v>
      </c>
      <c r="D297" s="147"/>
      <c r="E297" s="145"/>
      <c r="F297" s="146"/>
    </row>
    <row r="298" spans="1:6" x14ac:dyDescent="0.5">
      <c r="A298" s="51" t="s">
        <v>13</v>
      </c>
      <c r="B298" s="48" t="s">
        <v>67</v>
      </c>
      <c r="C298" s="145">
        <f t="shared" si="9"/>
        <v>3137600</v>
      </c>
      <c r="D298" s="147"/>
      <c r="E298" s="145"/>
      <c r="F298" s="146"/>
    </row>
    <row r="299" spans="1:6" x14ac:dyDescent="0.5">
      <c r="A299" s="51" t="s">
        <v>14</v>
      </c>
      <c r="B299" s="48" t="s">
        <v>70</v>
      </c>
      <c r="C299" s="145">
        <f t="shared" ref="C299:C304" si="10">C247</f>
        <v>0</v>
      </c>
      <c r="D299" s="147"/>
      <c r="E299" s="145">
        <f>E243</f>
        <v>0</v>
      </c>
      <c r="F299" s="146"/>
    </row>
    <row r="300" spans="1:6" x14ac:dyDescent="0.5">
      <c r="A300" s="51" t="s">
        <v>45</v>
      </c>
      <c r="B300" s="48" t="s">
        <v>73</v>
      </c>
      <c r="C300" s="145">
        <f t="shared" si="10"/>
        <v>0</v>
      </c>
      <c r="D300" s="147"/>
      <c r="E300" s="145">
        <f t="shared" ref="E300:E306" si="11">E244</f>
        <v>0</v>
      </c>
      <c r="F300" s="146"/>
    </row>
    <row r="301" spans="1:6" x14ac:dyDescent="0.5">
      <c r="A301" s="51" t="s">
        <v>113</v>
      </c>
      <c r="B301" s="48" t="s">
        <v>144</v>
      </c>
      <c r="C301" s="145">
        <f t="shared" si="10"/>
        <v>0</v>
      </c>
      <c r="D301" s="147"/>
      <c r="E301" s="145">
        <f t="shared" si="11"/>
        <v>0</v>
      </c>
      <c r="F301" s="146"/>
    </row>
    <row r="302" spans="1:6" x14ac:dyDescent="0.5">
      <c r="A302" s="43" t="s">
        <v>110</v>
      </c>
      <c r="B302" s="44" t="s">
        <v>74</v>
      </c>
      <c r="C302" s="145">
        <f t="shared" si="10"/>
        <v>0</v>
      </c>
      <c r="D302" s="147"/>
      <c r="E302" s="145">
        <f t="shared" si="11"/>
        <v>64244317.710000001</v>
      </c>
      <c r="F302" s="146"/>
    </row>
    <row r="303" spans="1:6" x14ac:dyDescent="0.5">
      <c r="A303" s="43" t="s">
        <v>91</v>
      </c>
      <c r="B303" s="44" t="s">
        <v>92</v>
      </c>
      <c r="C303" s="145"/>
      <c r="D303" s="147"/>
      <c r="E303" s="145">
        <f t="shared" si="11"/>
        <v>2489706.96</v>
      </c>
      <c r="F303" s="146"/>
    </row>
    <row r="304" spans="1:6" x14ac:dyDescent="0.5">
      <c r="A304" s="51" t="s">
        <v>112</v>
      </c>
      <c r="B304" s="48" t="s">
        <v>127</v>
      </c>
      <c r="C304" s="145">
        <f t="shared" si="10"/>
        <v>0</v>
      </c>
      <c r="D304" s="147"/>
      <c r="E304" s="145">
        <f t="shared" si="11"/>
        <v>956839</v>
      </c>
      <c r="F304" s="146"/>
    </row>
    <row r="305" spans="1:6" x14ac:dyDescent="0.5">
      <c r="A305" s="51" t="s">
        <v>15</v>
      </c>
      <c r="B305" s="48" t="s">
        <v>72</v>
      </c>
      <c r="C305" s="145"/>
      <c r="D305" s="147"/>
      <c r="E305" s="145">
        <f t="shared" si="11"/>
        <v>2180000</v>
      </c>
      <c r="F305" s="146"/>
    </row>
    <row r="306" spans="1:6" x14ac:dyDescent="0.5">
      <c r="A306" s="51" t="s">
        <v>53</v>
      </c>
      <c r="B306" s="48" t="s">
        <v>71</v>
      </c>
      <c r="C306" s="145"/>
      <c r="D306" s="147"/>
      <c r="E306" s="145">
        <f t="shared" si="11"/>
        <v>93790</v>
      </c>
      <c r="F306" s="146"/>
    </row>
    <row r="307" spans="1:6" ht="24.75" thickBot="1" x14ac:dyDescent="0.55000000000000004">
      <c r="A307" s="52" t="s">
        <v>44</v>
      </c>
      <c r="B307" s="53"/>
      <c r="C307" s="158">
        <f>SUM(C265:C306)</f>
        <v>222552631.13</v>
      </c>
      <c r="D307" s="160"/>
      <c r="E307" s="158">
        <f>SUM(E265:E306)</f>
        <v>69964653.670000002</v>
      </c>
      <c r="F307" s="159"/>
    </row>
    <row r="308" spans="1:6" x14ac:dyDescent="0.5">
      <c r="A308" s="148"/>
      <c r="B308" s="148"/>
      <c r="C308" s="148"/>
      <c r="D308" s="49"/>
      <c r="E308" s="50"/>
      <c r="F308" s="50"/>
    </row>
    <row r="309" spans="1:6" ht="26.25" x14ac:dyDescent="0.55000000000000004">
      <c r="A309" s="58" t="s">
        <v>255</v>
      </c>
      <c r="B309" s="58"/>
      <c r="C309" s="149" t="s">
        <v>117</v>
      </c>
      <c r="D309" s="149"/>
      <c r="E309" s="149"/>
      <c r="F309" s="149"/>
    </row>
    <row r="310" spans="1:6" ht="26.25" x14ac:dyDescent="0.55000000000000004">
      <c r="A310" s="58" t="s">
        <v>256</v>
      </c>
      <c r="B310" s="58"/>
      <c r="C310" s="141" t="s">
        <v>261</v>
      </c>
      <c r="D310" s="141"/>
      <c r="E310" s="141"/>
      <c r="F310" s="141"/>
    </row>
    <row r="311" spans="1:6" ht="26.25" x14ac:dyDescent="0.55000000000000004">
      <c r="A311" s="59" t="s">
        <v>257</v>
      </c>
      <c r="B311" s="60"/>
      <c r="C311" s="142" t="s">
        <v>262</v>
      </c>
      <c r="D311" s="142"/>
      <c r="E311" s="142"/>
      <c r="F311" s="142"/>
    </row>
    <row r="312" spans="1:6" x14ac:dyDescent="0.5">
      <c r="A312" s="148" t="s">
        <v>260</v>
      </c>
      <c r="B312" s="148"/>
      <c r="C312" s="148"/>
      <c r="D312" s="49"/>
      <c r="E312" s="50"/>
      <c r="F312" s="50"/>
    </row>
  </sheetData>
  <mergeCells count="576">
    <mergeCell ref="C306:D306"/>
    <mergeCell ref="E306:F306"/>
    <mergeCell ref="C307:D307"/>
    <mergeCell ref="E307:F307"/>
    <mergeCell ref="A308:C308"/>
    <mergeCell ref="C309:F309"/>
    <mergeCell ref="C310:F310"/>
    <mergeCell ref="C311:F311"/>
    <mergeCell ref="A312:C312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A260:F260"/>
    <mergeCell ref="A261:F261"/>
    <mergeCell ref="A262:F262"/>
    <mergeCell ref="A263:A264"/>
    <mergeCell ref="B263:B264"/>
    <mergeCell ref="C263:D264"/>
    <mergeCell ref="E263:F264"/>
    <mergeCell ref="C265:D265"/>
    <mergeCell ref="E265:F265"/>
    <mergeCell ref="A259:C259"/>
    <mergeCell ref="C125:D125"/>
    <mergeCell ref="C132:D132"/>
    <mergeCell ref="E132:F132"/>
    <mergeCell ref="C258:F258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49:D249"/>
    <mergeCell ref="E249:F249"/>
    <mergeCell ref="C254:D254"/>
    <mergeCell ref="E254:F254"/>
    <mergeCell ref="A255:C255"/>
    <mergeCell ref="C256:F256"/>
    <mergeCell ref="C257:F257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29:D229"/>
    <mergeCell ref="E229:F229"/>
    <mergeCell ref="C230:D230"/>
    <mergeCell ref="E230:F230"/>
    <mergeCell ref="C231:D231"/>
    <mergeCell ref="E231:F231"/>
    <mergeCell ref="C232:D232"/>
    <mergeCell ref="C233:D233"/>
    <mergeCell ref="E233:F233"/>
    <mergeCell ref="C235:D235"/>
    <mergeCell ref="E235:F235"/>
    <mergeCell ref="C237:D237"/>
    <mergeCell ref="E237:F237"/>
    <mergeCell ref="C238:D238"/>
    <mergeCell ref="E238:F238"/>
    <mergeCell ref="C239:D239"/>
    <mergeCell ref="E239:F239"/>
    <mergeCell ref="C234:D234"/>
    <mergeCell ref="E234:F234"/>
    <mergeCell ref="C236:D236"/>
    <mergeCell ref="E236:F236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17:D17"/>
    <mergeCell ref="E17:F17"/>
    <mergeCell ref="C18:D18"/>
    <mergeCell ref="E18:F18"/>
    <mergeCell ref="C14:D14"/>
    <mergeCell ref="E14:F14"/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6:D6"/>
    <mergeCell ref="E6:F6"/>
    <mergeCell ref="H6:I6"/>
    <mergeCell ref="C7:D7"/>
    <mergeCell ref="E7:F7"/>
    <mergeCell ref="H7:I7"/>
    <mergeCell ref="C30:D30"/>
    <mergeCell ref="E30:F30"/>
    <mergeCell ref="H14:I14"/>
    <mergeCell ref="C15:D15"/>
    <mergeCell ref="E15:F15"/>
    <mergeCell ref="H15:I15"/>
    <mergeCell ref="C24:D24"/>
    <mergeCell ref="E24:F24"/>
    <mergeCell ref="C25:D25"/>
    <mergeCell ref="E25:F25"/>
    <mergeCell ref="C26:D26"/>
    <mergeCell ref="E26:F26"/>
    <mergeCell ref="C19:D19"/>
    <mergeCell ref="H12:I12"/>
    <mergeCell ref="C13:D13"/>
    <mergeCell ref="E13:F13"/>
    <mergeCell ref="H13:I13"/>
    <mergeCell ref="C12:D12"/>
    <mergeCell ref="E19:F19"/>
    <mergeCell ref="C21:D21"/>
    <mergeCell ref="H8:I8"/>
    <mergeCell ref="C9:D9"/>
    <mergeCell ref="E9:F9"/>
    <mergeCell ref="H9:I9"/>
    <mergeCell ref="C27:D27"/>
    <mergeCell ref="E27:F27"/>
    <mergeCell ref="E28:F28"/>
    <mergeCell ref="C29:D29"/>
    <mergeCell ref="E29:F29"/>
    <mergeCell ref="E21:F21"/>
    <mergeCell ref="C22:D22"/>
    <mergeCell ref="E22:F22"/>
    <mergeCell ref="C10:D10"/>
    <mergeCell ref="E10:F10"/>
    <mergeCell ref="C20:D20"/>
    <mergeCell ref="E20:F20"/>
    <mergeCell ref="C28:D28"/>
    <mergeCell ref="H10:I10"/>
    <mergeCell ref="C11:D11"/>
    <mergeCell ref="E11:F11"/>
    <mergeCell ref="H11:I11"/>
    <mergeCell ref="E12:F12"/>
    <mergeCell ref="C16:D16"/>
    <mergeCell ref="E16:F16"/>
    <mergeCell ref="E33:F33"/>
    <mergeCell ref="C34:D34"/>
    <mergeCell ref="E34:F34"/>
    <mergeCell ref="C35:D35"/>
    <mergeCell ref="E35:F35"/>
    <mergeCell ref="E31:F31"/>
    <mergeCell ref="C23:D23"/>
    <mergeCell ref="E23:F23"/>
    <mergeCell ref="E37:F37"/>
    <mergeCell ref="C31:D31"/>
    <mergeCell ref="C33:D33"/>
    <mergeCell ref="C32:D32"/>
    <mergeCell ref="E32:F32"/>
    <mergeCell ref="C69:D69"/>
    <mergeCell ref="E69:F69"/>
    <mergeCell ref="A52:F52"/>
    <mergeCell ref="E39:F39"/>
    <mergeCell ref="C40:D40"/>
    <mergeCell ref="E40:F40"/>
    <mergeCell ref="C41:D41"/>
    <mergeCell ref="E41:F41"/>
    <mergeCell ref="C36:D36"/>
    <mergeCell ref="E36:F36"/>
    <mergeCell ref="C37:D37"/>
    <mergeCell ref="C47:F47"/>
    <mergeCell ref="C44:D44"/>
    <mergeCell ref="E44:F44"/>
    <mergeCell ref="C38:D38"/>
    <mergeCell ref="E38:F38"/>
    <mergeCell ref="C42:D42"/>
    <mergeCell ref="E42:F42"/>
    <mergeCell ref="C43:D43"/>
    <mergeCell ref="E43:F43"/>
    <mergeCell ref="A51:F51"/>
    <mergeCell ref="C39:D39"/>
    <mergeCell ref="C48:F48"/>
    <mergeCell ref="C49:F49"/>
    <mergeCell ref="C60:D60"/>
    <mergeCell ref="E60:F60"/>
    <mergeCell ref="C58:D58"/>
    <mergeCell ref="E58:F58"/>
    <mergeCell ref="C56:D56"/>
    <mergeCell ref="E56:F56"/>
    <mergeCell ref="C57:D57"/>
    <mergeCell ref="E57:F57"/>
    <mergeCell ref="C68:D68"/>
    <mergeCell ref="E68:F68"/>
    <mergeCell ref="A53:F53"/>
    <mergeCell ref="C45:D45"/>
    <mergeCell ref="E45:F45"/>
    <mergeCell ref="A46:C46"/>
    <mergeCell ref="C64:D64"/>
    <mergeCell ref="E64:F64"/>
    <mergeCell ref="C65:D65"/>
    <mergeCell ref="E65:F65"/>
    <mergeCell ref="C67:D67"/>
    <mergeCell ref="E67:F67"/>
    <mergeCell ref="A54:A55"/>
    <mergeCell ref="B54:B55"/>
    <mergeCell ref="C54:D55"/>
    <mergeCell ref="E54:F55"/>
    <mergeCell ref="C66:D66"/>
    <mergeCell ref="E66:F66"/>
    <mergeCell ref="C61:D61"/>
    <mergeCell ref="E61:F61"/>
    <mergeCell ref="C62:D62"/>
    <mergeCell ref="E62:F62"/>
    <mergeCell ref="C63:D63"/>
    <mergeCell ref="E63:F63"/>
    <mergeCell ref="C59:D59"/>
    <mergeCell ref="E59:F59"/>
    <mergeCell ref="C80:D80"/>
    <mergeCell ref="E80:F80"/>
    <mergeCell ref="C78:D78"/>
    <mergeCell ref="E78:F78"/>
    <mergeCell ref="C73:D73"/>
    <mergeCell ref="E73:F73"/>
    <mergeCell ref="C70:D70"/>
    <mergeCell ref="E70:F70"/>
    <mergeCell ref="C71:D71"/>
    <mergeCell ref="E71:F71"/>
    <mergeCell ref="C74:D74"/>
    <mergeCell ref="E74:F74"/>
    <mergeCell ref="C75:D75"/>
    <mergeCell ref="E75:F75"/>
    <mergeCell ref="C76:D76"/>
    <mergeCell ref="E76:F76"/>
    <mergeCell ref="C72:D72"/>
    <mergeCell ref="E72:F72"/>
    <mergeCell ref="C81:D81"/>
    <mergeCell ref="E81:F81"/>
    <mergeCell ref="C82:D82"/>
    <mergeCell ref="E82:F82"/>
    <mergeCell ref="C83:D83"/>
    <mergeCell ref="E83:F83"/>
    <mergeCell ref="C77:D77"/>
    <mergeCell ref="E77:F77"/>
    <mergeCell ref="C93:D93"/>
    <mergeCell ref="E93:F93"/>
    <mergeCell ref="C87:D87"/>
    <mergeCell ref="E87:F87"/>
    <mergeCell ref="C91:D91"/>
    <mergeCell ref="E91:F91"/>
    <mergeCell ref="C92:D92"/>
    <mergeCell ref="E92:F92"/>
    <mergeCell ref="C84:D84"/>
    <mergeCell ref="E84:F84"/>
    <mergeCell ref="C85:D85"/>
    <mergeCell ref="E85:F85"/>
    <mergeCell ref="C86:D86"/>
    <mergeCell ref="E86:F86"/>
    <mergeCell ref="C79:D79"/>
    <mergeCell ref="E79:F79"/>
    <mergeCell ref="A94:C94"/>
    <mergeCell ref="C88:D88"/>
    <mergeCell ref="E88:F88"/>
    <mergeCell ref="C89:D89"/>
    <mergeCell ref="E89:F89"/>
    <mergeCell ref="C90:D90"/>
    <mergeCell ref="E90:F90"/>
    <mergeCell ref="C107:D107"/>
    <mergeCell ref="E107:F107"/>
    <mergeCell ref="C95:F95"/>
    <mergeCell ref="C96:F96"/>
    <mergeCell ref="C97:F97"/>
    <mergeCell ref="A100:F100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A101:F101"/>
    <mergeCell ref="A102:F102"/>
    <mergeCell ref="C106:D106"/>
    <mergeCell ref="E106:F106"/>
    <mergeCell ref="A103:A104"/>
    <mergeCell ref="B103:B104"/>
    <mergeCell ref="C103:D104"/>
    <mergeCell ref="E103:F104"/>
    <mergeCell ref="C105:D105"/>
    <mergeCell ref="E105:F105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31:D131"/>
    <mergeCell ref="E131:F131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22:D122"/>
    <mergeCell ref="E122:F122"/>
    <mergeCell ref="C123:D123"/>
    <mergeCell ref="E123:F123"/>
    <mergeCell ref="C124:D124"/>
    <mergeCell ref="E124:F124"/>
    <mergeCell ref="C126:D126"/>
    <mergeCell ref="E126:F126"/>
    <mergeCell ref="C130:D130"/>
    <mergeCell ref="E130:F130"/>
    <mergeCell ref="C128:D128"/>
    <mergeCell ref="E128:F128"/>
    <mergeCell ref="C127:D127"/>
    <mergeCell ref="E127:F127"/>
    <mergeCell ref="C129:D129"/>
    <mergeCell ref="E129:F129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60:D160"/>
    <mergeCell ref="E160:F160"/>
    <mergeCell ref="C161:D161"/>
    <mergeCell ref="E161:F161"/>
    <mergeCell ref="C162:D162"/>
    <mergeCell ref="E162:F162"/>
    <mergeCell ref="A151:F151"/>
    <mergeCell ref="A152:F152"/>
    <mergeCell ref="A153:F153"/>
    <mergeCell ref="A154:A155"/>
    <mergeCell ref="B154:B155"/>
    <mergeCell ref="C154:D155"/>
    <mergeCell ref="E154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3:D173"/>
    <mergeCell ref="C196:D196"/>
    <mergeCell ref="E196:F196"/>
    <mergeCell ref="A203:C203"/>
    <mergeCell ref="C204:F204"/>
    <mergeCell ref="C205:F205"/>
    <mergeCell ref="E198:F198"/>
    <mergeCell ref="C198:D198"/>
    <mergeCell ref="C197:D197"/>
    <mergeCell ref="E197:F197"/>
    <mergeCell ref="C174:D174"/>
    <mergeCell ref="E174:F174"/>
    <mergeCell ref="C175:D175"/>
    <mergeCell ref="E175:F175"/>
    <mergeCell ref="E185:F185"/>
    <mergeCell ref="C186:D186"/>
    <mergeCell ref="E186:F186"/>
    <mergeCell ref="C192:D192"/>
    <mergeCell ref="E192:F192"/>
    <mergeCell ref="E177:F177"/>
    <mergeCell ref="C178:D178"/>
    <mergeCell ref="E178:F178"/>
    <mergeCell ref="E179:F179"/>
    <mergeCell ref="C180:D180"/>
    <mergeCell ref="C170:D170"/>
    <mergeCell ref="C163:D163"/>
    <mergeCell ref="E163:F163"/>
    <mergeCell ref="C164:D164"/>
    <mergeCell ref="E164:F164"/>
    <mergeCell ref="C165:D165"/>
    <mergeCell ref="C214:D214"/>
    <mergeCell ref="E214:F214"/>
    <mergeCell ref="C215:D215"/>
    <mergeCell ref="E215:F215"/>
    <mergeCell ref="C176:D176"/>
    <mergeCell ref="C177:D177"/>
    <mergeCell ref="E170:F170"/>
    <mergeCell ref="C171:D171"/>
    <mergeCell ref="E171:F171"/>
    <mergeCell ref="C172:D172"/>
    <mergeCell ref="E172:F172"/>
    <mergeCell ref="C182:D182"/>
    <mergeCell ref="E182:F182"/>
    <mergeCell ref="C183:D183"/>
    <mergeCell ref="E183:F183"/>
    <mergeCell ref="C184:D184"/>
    <mergeCell ref="E184:F184"/>
    <mergeCell ref="C179:D179"/>
    <mergeCell ref="C219:D219"/>
    <mergeCell ref="E219:F219"/>
    <mergeCell ref="C210:D211"/>
    <mergeCell ref="E210:F211"/>
    <mergeCell ref="C212:D212"/>
    <mergeCell ref="E212:F212"/>
    <mergeCell ref="C213:D213"/>
    <mergeCell ref="E213:F213"/>
    <mergeCell ref="C206:F206"/>
    <mergeCell ref="A207:F207"/>
    <mergeCell ref="A208:F208"/>
    <mergeCell ref="A209:F209"/>
    <mergeCell ref="A210:A211"/>
    <mergeCell ref="B210:B211"/>
    <mergeCell ref="E194:F194"/>
    <mergeCell ref="C195:D195"/>
    <mergeCell ref="E195:F195"/>
    <mergeCell ref="C216:D216"/>
    <mergeCell ref="E216:F216"/>
    <mergeCell ref="C217:D217"/>
    <mergeCell ref="E217:F217"/>
    <mergeCell ref="C218:D218"/>
    <mergeCell ref="E218:F218"/>
    <mergeCell ref="A199:C199"/>
    <mergeCell ref="C200:F200"/>
    <mergeCell ref="C201:F201"/>
    <mergeCell ref="C202:F202"/>
    <mergeCell ref="C187:D187"/>
    <mergeCell ref="E187:F187"/>
    <mergeCell ref="C189:D189"/>
    <mergeCell ref="C188:D188"/>
    <mergeCell ref="E188:F188"/>
    <mergeCell ref="A147:C147"/>
    <mergeCell ref="C148:F148"/>
    <mergeCell ref="C149:F149"/>
    <mergeCell ref="C150:F150"/>
    <mergeCell ref="E180:F180"/>
    <mergeCell ref="C181:D181"/>
    <mergeCell ref="E181:F181"/>
    <mergeCell ref="E173:F173"/>
    <mergeCell ref="C185:D185"/>
    <mergeCell ref="E189:F189"/>
    <mergeCell ref="C190:D190"/>
    <mergeCell ref="E190:F190"/>
    <mergeCell ref="C191:D191"/>
    <mergeCell ref="E191:F191"/>
    <mergeCell ref="C193:D193"/>
    <mergeCell ref="E193:F193"/>
    <mergeCell ref="C194:D194"/>
  </mergeCells>
  <pageMargins left="0.78740157480314965" right="0.39370078740157483" top="0" bottom="0" header="0.31496062992125984" footer="0.31496062992125984"/>
  <pageSetup paperSize="9" scale="65" orientation="portrait" r:id="rId1"/>
  <rowBreaks count="5" manualBreakCount="5">
    <brk id="50" max="16383" man="1"/>
    <brk id="99" max="8" man="1"/>
    <brk id="150" max="16383" man="1"/>
    <brk id="203" max="16383" man="1"/>
    <brk id="206" max="8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view="pageBreakPreview" topLeftCell="A248" zoomScaleSheetLayoutView="100" workbookViewId="0">
      <selection activeCell="A206" sqref="A206:H257"/>
    </sheetView>
  </sheetViews>
  <sheetFormatPr defaultColWidth="8.796875" defaultRowHeight="23.25" x14ac:dyDescent="0.5"/>
  <cols>
    <col min="1" max="1" width="20.796875" style="19" customWidth="1"/>
    <col min="2" max="2" width="4.796875" style="8" customWidth="1"/>
    <col min="3" max="3" width="3.796875" style="8" customWidth="1"/>
    <col min="4" max="4" width="21" style="8" customWidth="1"/>
    <col min="5" max="5" width="79" style="8" customWidth="1"/>
    <col min="6" max="6" width="16.19921875" style="8" customWidth="1"/>
    <col min="7" max="7" width="4.3984375" style="8" customWidth="1"/>
    <col min="8" max="8" width="20.796875" style="8" customWidth="1"/>
    <col min="9" max="14" width="27.796875" style="8" customWidth="1"/>
    <col min="15" max="16384" width="8.796875" style="8"/>
  </cols>
  <sheetData>
    <row r="1" spans="1:10" x14ac:dyDescent="0.5">
      <c r="A1" s="182" t="s">
        <v>94</v>
      </c>
      <c r="B1" s="182"/>
      <c r="C1" s="182"/>
      <c r="D1" s="182"/>
      <c r="E1" s="182"/>
      <c r="F1" s="182"/>
      <c r="G1" s="182"/>
      <c r="H1" s="182"/>
    </row>
    <row r="2" spans="1:10" x14ac:dyDescent="0.5">
      <c r="A2" s="182" t="s">
        <v>146</v>
      </c>
      <c r="B2" s="182"/>
      <c r="C2" s="182"/>
      <c r="D2" s="182"/>
      <c r="E2" s="182"/>
      <c r="F2" s="182"/>
      <c r="G2" s="182"/>
      <c r="H2" s="182"/>
    </row>
    <row r="3" spans="1:10" x14ac:dyDescent="0.5">
      <c r="A3" s="14"/>
      <c r="B3" s="1"/>
      <c r="C3" s="1"/>
      <c r="D3" s="1"/>
      <c r="E3" s="1"/>
      <c r="F3" s="183" t="s">
        <v>220</v>
      </c>
      <c r="G3" s="183"/>
      <c r="H3" s="183"/>
    </row>
    <row r="4" spans="1:10" x14ac:dyDescent="0.5">
      <c r="A4" s="182" t="s">
        <v>17</v>
      </c>
      <c r="B4" s="182"/>
      <c r="C4" s="182"/>
      <c r="D4" s="182"/>
      <c r="E4" s="182"/>
      <c r="F4" s="182"/>
      <c r="G4" s="182"/>
      <c r="H4" s="182"/>
    </row>
    <row r="5" spans="1:10" ht="24" thickBot="1" x14ac:dyDescent="0.55000000000000004">
      <c r="A5" s="56"/>
      <c r="B5" s="23"/>
      <c r="C5" s="23"/>
      <c r="D5" s="23"/>
      <c r="E5" s="23"/>
      <c r="F5" s="184" t="s">
        <v>221</v>
      </c>
      <c r="G5" s="184"/>
      <c r="H5" s="184"/>
    </row>
    <row r="6" spans="1:10" ht="24" thickTop="1" x14ac:dyDescent="0.5">
      <c r="A6" s="185" t="s">
        <v>18</v>
      </c>
      <c r="B6" s="185"/>
      <c r="C6" s="185"/>
      <c r="D6" s="185"/>
      <c r="E6" s="21"/>
      <c r="F6" s="185" t="s">
        <v>19</v>
      </c>
      <c r="G6" s="185"/>
      <c r="H6" s="185"/>
    </row>
    <row r="7" spans="1:10" x14ac:dyDescent="0.5">
      <c r="A7" s="186" t="s">
        <v>20</v>
      </c>
      <c r="B7" s="187"/>
      <c r="C7" s="188" t="s">
        <v>22</v>
      </c>
      <c r="D7" s="188"/>
      <c r="E7" s="189" t="s">
        <v>0</v>
      </c>
      <c r="F7" s="84" t="s">
        <v>23</v>
      </c>
      <c r="G7" s="186" t="s">
        <v>22</v>
      </c>
      <c r="H7" s="187"/>
    </row>
    <row r="8" spans="1:10" ht="24" thickBot="1" x14ac:dyDescent="0.55000000000000004">
      <c r="A8" s="191" t="s">
        <v>21</v>
      </c>
      <c r="B8" s="192"/>
      <c r="C8" s="193" t="s">
        <v>21</v>
      </c>
      <c r="D8" s="193"/>
      <c r="E8" s="190"/>
      <c r="F8" s="85" t="s">
        <v>24</v>
      </c>
      <c r="G8" s="191" t="s">
        <v>21</v>
      </c>
      <c r="H8" s="192"/>
    </row>
    <row r="9" spans="1:10" ht="24" thickTop="1" x14ac:dyDescent="0.5">
      <c r="A9" s="13"/>
      <c r="B9" s="21"/>
      <c r="C9" s="180">
        <f>G9</f>
        <v>74345996.209999993</v>
      </c>
      <c r="D9" s="181"/>
      <c r="E9" s="8" t="s">
        <v>25</v>
      </c>
      <c r="F9" s="24"/>
      <c r="G9" s="180">
        <v>74345996.209999993</v>
      </c>
      <c r="H9" s="181"/>
    </row>
    <row r="10" spans="1:10" x14ac:dyDescent="0.5">
      <c r="A10" s="5"/>
      <c r="B10" s="4"/>
      <c r="C10" s="178"/>
      <c r="D10" s="179"/>
      <c r="E10" s="8" t="s">
        <v>42</v>
      </c>
      <c r="F10" s="25" t="s">
        <v>70</v>
      </c>
      <c r="G10" s="178"/>
      <c r="H10" s="179"/>
    </row>
    <row r="11" spans="1:10" x14ac:dyDescent="0.5">
      <c r="A11" s="5">
        <v>5670000</v>
      </c>
      <c r="B11" s="3" t="s">
        <v>16</v>
      </c>
      <c r="C11" s="178">
        <f>G11</f>
        <v>96852.72</v>
      </c>
      <c r="D11" s="179"/>
      <c r="E11" s="8" t="s">
        <v>26</v>
      </c>
      <c r="F11" s="25" t="s">
        <v>76</v>
      </c>
      <c r="G11" s="178">
        <f>11803+34377+2845.43+3491.29+15670+440+1380+26846</f>
        <v>96852.72</v>
      </c>
      <c r="H11" s="179"/>
    </row>
    <row r="12" spans="1:10" x14ac:dyDescent="0.5">
      <c r="A12" s="5">
        <v>1198500</v>
      </c>
      <c r="B12" s="3" t="s">
        <v>16</v>
      </c>
      <c r="C12" s="178">
        <f t="shared" ref="C12:C18" si="0">G12</f>
        <v>79011.25</v>
      </c>
      <c r="D12" s="179"/>
      <c r="E12" s="8" t="s">
        <v>27</v>
      </c>
      <c r="F12" s="25" t="s">
        <v>77</v>
      </c>
      <c r="G12" s="178">
        <f>160+51720+3000+15110+3050+540+1420+1550+1200+647+20+100+494.25</f>
        <v>79011.25</v>
      </c>
      <c r="H12" s="179"/>
      <c r="I12" s="15">
        <f>C13-633467.88</f>
        <v>-628467.88</v>
      </c>
      <c r="J12" s="15">
        <f>C12-1280437.3</f>
        <v>-1201426.05</v>
      </c>
    </row>
    <row r="13" spans="1:10" x14ac:dyDescent="0.5">
      <c r="A13" s="5">
        <v>451000</v>
      </c>
      <c r="B13" s="3" t="s">
        <v>16</v>
      </c>
      <c r="C13" s="178">
        <f t="shared" si="0"/>
        <v>5000</v>
      </c>
      <c r="D13" s="179"/>
      <c r="E13" s="8" t="s">
        <v>28</v>
      </c>
      <c r="F13" s="25" t="s">
        <v>78</v>
      </c>
      <c r="G13" s="178">
        <f>5000</f>
        <v>5000</v>
      </c>
      <c r="H13" s="179"/>
    </row>
    <row r="14" spans="1:10" x14ac:dyDescent="0.5">
      <c r="A14" s="5">
        <v>1000</v>
      </c>
      <c r="B14" s="3" t="s">
        <v>16</v>
      </c>
      <c r="C14" s="178">
        <f t="shared" si="0"/>
        <v>0</v>
      </c>
      <c r="D14" s="179"/>
      <c r="E14" s="8" t="s">
        <v>29</v>
      </c>
      <c r="F14" s="25" t="s">
        <v>80</v>
      </c>
      <c r="G14" s="178"/>
      <c r="H14" s="179"/>
    </row>
    <row r="15" spans="1:10" x14ac:dyDescent="0.5">
      <c r="A15" s="5">
        <v>184500</v>
      </c>
      <c r="B15" s="3" t="s">
        <v>16</v>
      </c>
      <c r="C15" s="178">
        <f t="shared" si="0"/>
        <v>200966</v>
      </c>
      <c r="D15" s="179"/>
      <c r="E15" s="8" t="s">
        <v>198</v>
      </c>
      <c r="F15" s="25" t="s">
        <v>79</v>
      </c>
      <c r="G15" s="178">
        <f>196200+32+1270+3464</f>
        <v>200966</v>
      </c>
      <c r="H15" s="179"/>
      <c r="J15" s="92">
        <v>26846</v>
      </c>
    </row>
    <row r="16" spans="1:10" x14ac:dyDescent="0.5">
      <c r="A16" s="2">
        <v>1000</v>
      </c>
      <c r="B16" s="3"/>
      <c r="C16" s="178">
        <f t="shared" si="0"/>
        <v>0</v>
      </c>
      <c r="D16" s="179"/>
      <c r="E16" s="8" t="s">
        <v>30</v>
      </c>
      <c r="F16" s="25" t="s">
        <v>81</v>
      </c>
      <c r="G16" s="178"/>
      <c r="H16" s="179"/>
    </row>
    <row r="17" spans="1:10" x14ac:dyDescent="0.5">
      <c r="A17" s="5">
        <v>59294000</v>
      </c>
      <c r="B17" s="3" t="s">
        <v>16</v>
      </c>
      <c r="C17" s="178">
        <f t="shared" si="0"/>
        <v>6739076.4199999999</v>
      </c>
      <c r="D17" s="179"/>
      <c r="E17" s="8" t="s">
        <v>31</v>
      </c>
      <c r="F17" s="25" t="s">
        <v>82</v>
      </c>
      <c r="G17" s="178">
        <f>676885.34+2841519.16+846934.99+324486.25+480798.77+77130.91+1491321</f>
        <v>6739076.4199999999</v>
      </c>
      <c r="H17" s="179"/>
      <c r="I17" s="12">
        <f>G19-G17-G18</f>
        <v>381829.96999999974</v>
      </c>
      <c r="J17" s="12">
        <f>G17+G18</f>
        <v>6739076.4199999999</v>
      </c>
    </row>
    <row r="18" spans="1:10" x14ac:dyDescent="0.5">
      <c r="A18" s="5">
        <v>29500000</v>
      </c>
      <c r="B18" s="3" t="s">
        <v>16</v>
      </c>
      <c r="C18" s="178">
        <f t="shared" si="0"/>
        <v>0</v>
      </c>
      <c r="D18" s="179"/>
      <c r="E18" s="8" t="s">
        <v>13</v>
      </c>
      <c r="F18" s="25" t="s">
        <v>83</v>
      </c>
      <c r="G18" s="168"/>
      <c r="H18" s="169"/>
    </row>
    <row r="19" spans="1:10" ht="24" thickBot="1" x14ac:dyDescent="0.55000000000000004">
      <c r="A19" s="61">
        <f>SUM(A11:A18)</f>
        <v>96300000</v>
      </c>
      <c r="B19" s="57" t="s">
        <v>16</v>
      </c>
      <c r="C19" s="174">
        <f>SUM(C11:C18)</f>
        <v>7120906.3899999997</v>
      </c>
      <c r="D19" s="175"/>
      <c r="F19" s="25"/>
      <c r="G19" s="174">
        <f>SUM(G11:G18)</f>
        <v>7120906.3899999997</v>
      </c>
      <c r="H19" s="175"/>
      <c r="I19" s="12">
        <f>G19-7677119.41</f>
        <v>-556213.02000000048</v>
      </c>
      <c r="J19" s="15">
        <f>G19-5831901.2</f>
        <v>1289005.1899999995</v>
      </c>
    </row>
    <row r="20" spans="1:10" ht="24" thickTop="1" x14ac:dyDescent="0.5">
      <c r="A20" s="27"/>
      <c r="B20" s="18"/>
      <c r="C20" s="176"/>
      <c r="D20" s="177"/>
      <c r="E20" s="39" t="s">
        <v>133</v>
      </c>
      <c r="F20" s="30"/>
      <c r="G20" s="176">
        <v>0</v>
      </c>
      <c r="H20" s="177"/>
      <c r="I20" s="12">
        <f>G19+G25+G27</f>
        <v>7120906.3899999997</v>
      </c>
    </row>
    <row r="21" spans="1:10" x14ac:dyDescent="0.5">
      <c r="A21" s="27">
        <f>A19-96300000</f>
        <v>0</v>
      </c>
      <c r="B21" s="18"/>
      <c r="C21" s="166">
        <f>G21</f>
        <v>0</v>
      </c>
      <c r="D21" s="167"/>
      <c r="E21" s="18" t="s">
        <v>154</v>
      </c>
      <c r="F21" s="30" t="s">
        <v>169</v>
      </c>
      <c r="G21" s="166"/>
      <c r="H21" s="167"/>
    </row>
    <row r="22" spans="1:10" x14ac:dyDescent="0.5">
      <c r="A22" s="27"/>
      <c r="B22" s="18"/>
      <c r="C22" s="166">
        <f>G22</f>
        <v>0</v>
      </c>
      <c r="D22" s="167"/>
      <c r="E22" s="18" t="s">
        <v>155</v>
      </c>
      <c r="F22" s="30" t="s">
        <v>169</v>
      </c>
      <c r="G22" s="166"/>
      <c r="H22" s="167"/>
      <c r="I22" s="15">
        <f>G19+G33</f>
        <v>7120906.3899999997</v>
      </c>
      <c r="J22" s="15">
        <f>I22-8316771.14</f>
        <v>-1195864.75</v>
      </c>
    </row>
    <row r="23" spans="1:10" x14ac:dyDescent="0.5">
      <c r="A23" s="27"/>
      <c r="B23" s="18"/>
      <c r="C23" s="166"/>
      <c r="D23" s="167"/>
      <c r="E23" s="39" t="s">
        <v>134</v>
      </c>
      <c r="F23" s="30"/>
      <c r="G23" s="168"/>
      <c r="H23" s="169"/>
    </row>
    <row r="24" spans="1:10" x14ac:dyDescent="0.5">
      <c r="A24" s="27"/>
      <c r="B24" s="18"/>
      <c r="C24" s="166">
        <f>G24</f>
        <v>0</v>
      </c>
      <c r="D24" s="167"/>
      <c r="E24" s="18" t="s">
        <v>156</v>
      </c>
      <c r="F24" s="30" t="s">
        <v>212</v>
      </c>
      <c r="G24" s="166"/>
      <c r="H24" s="167"/>
    </row>
    <row r="25" spans="1:10" x14ac:dyDescent="0.5">
      <c r="A25" s="27"/>
      <c r="B25" s="18"/>
      <c r="C25" s="166">
        <f t="shared" ref="C25:C53" si="1">G25</f>
        <v>0</v>
      </c>
      <c r="D25" s="167"/>
      <c r="E25" s="18" t="s">
        <v>157</v>
      </c>
      <c r="F25" s="30" t="s">
        <v>212</v>
      </c>
      <c r="G25" s="166"/>
      <c r="H25" s="167"/>
    </row>
    <row r="26" spans="1:10" x14ac:dyDescent="0.5">
      <c r="A26" s="27"/>
      <c r="B26" s="18"/>
      <c r="C26" s="166">
        <f t="shared" si="1"/>
        <v>0</v>
      </c>
      <c r="D26" s="167"/>
      <c r="E26" s="18" t="s">
        <v>159</v>
      </c>
      <c r="F26" s="30" t="s">
        <v>171</v>
      </c>
      <c r="G26" s="166"/>
      <c r="H26" s="167"/>
      <c r="I26" s="8" t="s">
        <v>206</v>
      </c>
    </row>
    <row r="27" spans="1:10" x14ac:dyDescent="0.5">
      <c r="A27" s="27"/>
      <c r="B27" s="18"/>
      <c r="C27" s="166">
        <f t="shared" si="1"/>
        <v>0</v>
      </c>
      <c r="D27" s="167"/>
      <c r="E27" s="18" t="s">
        <v>158</v>
      </c>
      <c r="F27" s="30" t="s">
        <v>169</v>
      </c>
      <c r="G27" s="166"/>
      <c r="H27" s="167"/>
      <c r="I27" s="77">
        <f>G19+G24+G25+G26+G27</f>
        <v>7120906.3899999997</v>
      </c>
    </row>
    <row r="28" spans="1:10" x14ac:dyDescent="0.5">
      <c r="A28" s="27"/>
      <c r="B28" s="18"/>
      <c r="C28" s="166">
        <f t="shared" si="1"/>
        <v>0</v>
      </c>
      <c r="D28" s="167"/>
      <c r="E28" s="18" t="s">
        <v>170</v>
      </c>
      <c r="F28" s="30" t="s">
        <v>173</v>
      </c>
      <c r="G28" s="166"/>
      <c r="H28" s="167"/>
      <c r="J28" s="27" t="s">
        <v>207</v>
      </c>
    </row>
    <row r="29" spans="1:10" x14ac:dyDescent="0.5">
      <c r="A29" s="27"/>
      <c r="B29" s="18"/>
      <c r="C29" s="166">
        <f t="shared" si="1"/>
        <v>0</v>
      </c>
      <c r="D29" s="167"/>
      <c r="E29" s="18" t="s">
        <v>204</v>
      </c>
      <c r="F29" s="30" t="s">
        <v>173</v>
      </c>
      <c r="G29" s="166"/>
      <c r="H29" s="167"/>
      <c r="I29" s="12">
        <f>G11+G12+G13+G15+G17+G18+G22+G24+G25+G27+G30+G33+G34</f>
        <v>8344111.3899999997</v>
      </c>
    </row>
    <row r="30" spans="1:10" x14ac:dyDescent="0.5">
      <c r="A30" s="27"/>
      <c r="B30" s="18"/>
      <c r="C30" s="166">
        <f t="shared" si="1"/>
        <v>1223205</v>
      </c>
      <c r="D30" s="167"/>
      <c r="E30" s="18" t="s">
        <v>244</v>
      </c>
      <c r="F30" s="30" t="s">
        <v>173</v>
      </c>
      <c r="G30" s="168">
        <v>1223205</v>
      </c>
      <c r="H30" s="169"/>
    </row>
    <row r="31" spans="1:10" x14ac:dyDescent="0.5">
      <c r="A31" s="27"/>
      <c r="B31" s="18"/>
      <c r="C31" s="166">
        <f t="shared" si="1"/>
        <v>0</v>
      </c>
      <c r="D31" s="167"/>
      <c r="E31" s="18" t="s">
        <v>203</v>
      </c>
      <c r="F31" s="30" t="s">
        <v>173</v>
      </c>
      <c r="G31" s="166"/>
      <c r="H31" s="167"/>
    </row>
    <row r="32" spans="1:10" x14ac:dyDescent="0.5">
      <c r="A32" s="27"/>
      <c r="B32" s="18"/>
      <c r="C32" s="166">
        <f t="shared" si="1"/>
        <v>0</v>
      </c>
      <c r="D32" s="167"/>
      <c r="E32" s="88" t="s">
        <v>207</v>
      </c>
      <c r="F32" s="30"/>
      <c r="G32" s="168"/>
      <c r="H32" s="169"/>
      <c r="I32" s="15">
        <f>G19+G24+G25+G27+G30+G32</f>
        <v>8344111.3899999997</v>
      </c>
      <c r="J32" s="15">
        <f>I32-6639601.2</f>
        <v>1704510.1899999995</v>
      </c>
    </row>
    <row r="33" spans="1:11" s="66" customFormat="1" x14ac:dyDescent="0.5">
      <c r="A33" s="89"/>
      <c r="B33" s="90"/>
      <c r="C33" s="166">
        <f t="shared" si="1"/>
        <v>0</v>
      </c>
      <c r="D33" s="167"/>
      <c r="E33" s="89" t="s">
        <v>218</v>
      </c>
      <c r="F33" s="91" t="s">
        <v>178</v>
      </c>
      <c r="G33" s="168">
        <v>0</v>
      </c>
      <c r="H33" s="169"/>
      <c r="I33" s="78"/>
      <c r="J33" s="78"/>
    </row>
    <row r="34" spans="1:11" s="66" customFormat="1" x14ac:dyDescent="0.5">
      <c r="A34" s="89"/>
      <c r="B34" s="90"/>
      <c r="C34" s="166">
        <f t="shared" si="1"/>
        <v>0</v>
      </c>
      <c r="D34" s="167"/>
      <c r="E34" s="89" t="s">
        <v>208</v>
      </c>
      <c r="F34" s="91" t="s">
        <v>177</v>
      </c>
      <c r="G34" s="168"/>
      <c r="H34" s="169"/>
      <c r="I34" s="78"/>
      <c r="J34" s="78"/>
    </row>
    <row r="35" spans="1:11" x14ac:dyDescent="0.5">
      <c r="A35" s="27"/>
      <c r="B35" s="18"/>
      <c r="C35" s="166">
        <f t="shared" si="1"/>
        <v>642264.62</v>
      </c>
      <c r="D35" s="167"/>
      <c r="E35" s="18" t="s">
        <v>32</v>
      </c>
      <c r="F35" s="30" t="s">
        <v>73</v>
      </c>
      <c r="G35" s="168">
        <f>'รายละเอียด(หมายเหตุ2)'!D23</f>
        <v>642264.62</v>
      </c>
      <c r="H35" s="169"/>
      <c r="I35" s="15">
        <f>G19+G26+G29+G31</f>
        <v>7120906.3899999997</v>
      </c>
      <c r="J35" s="15">
        <f>I35-6638138.14</f>
        <v>482768.25</v>
      </c>
      <c r="K35" s="27">
        <f>2164+3204+3266+2846+500+3455+187500+1000+5360+3900+3900+8976+7600+8172+3800+4086+6072+3580+16000+1200+3000</f>
        <v>279581</v>
      </c>
    </row>
    <row r="36" spans="1:11" x14ac:dyDescent="0.5">
      <c r="A36" s="27"/>
      <c r="B36" s="18"/>
      <c r="C36" s="166">
        <f t="shared" si="1"/>
        <v>2226</v>
      </c>
      <c r="D36" s="167"/>
      <c r="E36" s="18" t="s">
        <v>33</v>
      </c>
      <c r="F36" s="30" t="s">
        <v>60</v>
      </c>
      <c r="G36" s="168">
        <v>2226</v>
      </c>
      <c r="H36" s="169"/>
    </row>
    <row r="37" spans="1:11" ht="24" x14ac:dyDescent="0.5">
      <c r="A37" s="27"/>
      <c r="B37" s="18"/>
      <c r="C37" s="166">
        <f t="shared" si="1"/>
        <v>1400</v>
      </c>
      <c r="D37" s="167"/>
      <c r="E37" s="18" t="s">
        <v>55</v>
      </c>
      <c r="F37" s="30" t="s">
        <v>59</v>
      </c>
      <c r="G37" s="166">
        <v>1400</v>
      </c>
      <c r="H37" s="167"/>
      <c r="I37" s="145">
        <f>1230+66000+33000+2700+41000+143500+137000+500+6000+137500+500+4500+138000+500+4500+33000</f>
        <v>749430</v>
      </c>
      <c r="J37" s="147"/>
    </row>
    <row r="38" spans="1:11" x14ac:dyDescent="0.5">
      <c r="A38" s="27"/>
      <c r="B38" s="18"/>
      <c r="C38" s="166">
        <f t="shared" si="1"/>
        <v>1750</v>
      </c>
      <c r="D38" s="167"/>
      <c r="E38" s="18" t="s">
        <v>136</v>
      </c>
      <c r="F38" s="30" t="s">
        <v>140</v>
      </c>
      <c r="G38" s="168">
        <v>1750</v>
      </c>
      <c r="H38" s="169"/>
    </row>
    <row r="39" spans="1:11" x14ac:dyDescent="0.5">
      <c r="A39" s="27"/>
      <c r="B39" s="18"/>
      <c r="C39" s="166">
        <f t="shared" si="1"/>
        <v>315960</v>
      </c>
      <c r="D39" s="167"/>
      <c r="E39" s="18" t="s">
        <v>101</v>
      </c>
      <c r="F39" s="30" t="s">
        <v>141</v>
      </c>
      <c r="G39" s="168">
        <v>315960</v>
      </c>
      <c r="H39" s="169"/>
      <c r="J39" s="15">
        <f>I37-G37</f>
        <v>748030</v>
      </c>
    </row>
    <row r="40" spans="1:11" x14ac:dyDescent="0.5">
      <c r="A40" s="27"/>
      <c r="B40" s="18"/>
      <c r="C40" s="166">
        <f t="shared" si="1"/>
        <v>9442.0499999999993</v>
      </c>
      <c r="D40" s="167"/>
      <c r="E40" s="18" t="s">
        <v>137</v>
      </c>
      <c r="F40" s="30" t="s">
        <v>142</v>
      </c>
      <c r="G40" s="168">
        <v>9442.0499999999993</v>
      </c>
      <c r="H40" s="169"/>
    </row>
    <row r="41" spans="1:11" x14ac:dyDescent="0.5">
      <c r="A41" s="27"/>
      <c r="B41" s="18"/>
      <c r="C41" s="166">
        <f t="shared" si="1"/>
        <v>4400</v>
      </c>
      <c r="D41" s="167"/>
      <c r="E41" s="18" t="s">
        <v>124</v>
      </c>
      <c r="F41" s="30" t="s">
        <v>143</v>
      </c>
      <c r="G41" s="168">
        <v>4400</v>
      </c>
      <c r="H41" s="169"/>
    </row>
    <row r="42" spans="1:11" x14ac:dyDescent="0.5">
      <c r="A42" s="27"/>
      <c r="B42" s="18"/>
      <c r="C42" s="166">
        <f t="shared" si="1"/>
        <v>0</v>
      </c>
      <c r="D42" s="167"/>
      <c r="E42" s="18" t="s">
        <v>138</v>
      </c>
      <c r="F42" s="30" t="s">
        <v>145</v>
      </c>
      <c r="G42" s="168"/>
      <c r="H42" s="169"/>
    </row>
    <row r="43" spans="1:11" x14ac:dyDescent="0.5">
      <c r="A43" s="27"/>
      <c r="B43" s="18"/>
      <c r="C43" s="166">
        <f t="shared" si="1"/>
        <v>0</v>
      </c>
      <c r="D43" s="167"/>
      <c r="E43" s="18" t="s">
        <v>135</v>
      </c>
      <c r="F43" s="30" t="s">
        <v>61</v>
      </c>
      <c r="G43" s="168"/>
      <c r="H43" s="169"/>
    </row>
    <row r="44" spans="1:11" x14ac:dyDescent="0.5">
      <c r="A44" s="27"/>
      <c r="B44" s="18"/>
      <c r="C44" s="166">
        <f t="shared" si="1"/>
        <v>0</v>
      </c>
      <c r="D44" s="167"/>
      <c r="E44" s="18" t="s">
        <v>13</v>
      </c>
      <c r="F44" s="30" t="s">
        <v>67</v>
      </c>
      <c r="G44" s="168"/>
      <c r="H44" s="169"/>
    </row>
    <row r="45" spans="1:11" x14ac:dyDescent="0.5">
      <c r="A45" s="27"/>
      <c r="B45" s="18"/>
      <c r="C45" s="166">
        <f t="shared" si="1"/>
        <v>59</v>
      </c>
      <c r="D45" s="167"/>
      <c r="E45" s="18" t="s">
        <v>210</v>
      </c>
      <c r="F45" s="30" t="s">
        <v>176</v>
      </c>
      <c r="G45" s="168">
        <v>59</v>
      </c>
      <c r="H45" s="169"/>
    </row>
    <row r="46" spans="1:11" x14ac:dyDescent="0.5">
      <c r="A46" s="27"/>
      <c r="B46" s="18"/>
      <c r="C46" s="166">
        <f t="shared" si="1"/>
        <v>0</v>
      </c>
      <c r="D46" s="167"/>
      <c r="E46" s="18" t="s">
        <v>4</v>
      </c>
      <c r="F46" s="30" t="s">
        <v>84</v>
      </c>
      <c r="G46" s="168"/>
      <c r="H46" s="169"/>
    </row>
    <row r="47" spans="1:11" x14ac:dyDescent="0.5">
      <c r="A47" s="27"/>
      <c r="B47" s="18"/>
      <c r="C47" s="166">
        <f t="shared" si="1"/>
        <v>0</v>
      </c>
      <c r="D47" s="167"/>
      <c r="E47" s="18" t="s">
        <v>15</v>
      </c>
      <c r="F47" s="30" t="s">
        <v>72</v>
      </c>
      <c r="G47" s="168"/>
      <c r="H47" s="169"/>
    </row>
    <row r="48" spans="1:11" x14ac:dyDescent="0.5">
      <c r="A48" s="27"/>
      <c r="B48" s="18"/>
      <c r="C48" s="166">
        <f t="shared" si="1"/>
        <v>0</v>
      </c>
      <c r="D48" s="167"/>
      <c r="E48" s="18" t="s">
        <v>53</v>
      </c>
      <c r="F48" s="30" t="s">
        <v>71</v>
      </c>
      <c r="G48" s="168"/>
      <c r="H48" s="169"/>
    </row>
    <row r="49" spans="1:8" x14ac:dyDescent="0.5">
      <c r="A49" s="27"/>
      <c r="B49" s="18"/>
      <c r="C49" s="166">
        <f t="shared" si="1"/>
        <v>0</v>
      </c>
      <c r="D49" s="167"/>
      <c r="E49" s="18" t="s">
        <v>199</v>
      </c>
      <c r="F49" s="30" t="s">
        <v>127</v>
      </c>
      <c r="G49" s="168"/>
      <c r="H49" s="169"/>
    </row>
    <row r="50" spans="1:8" x14ac:dyDescent="0.5">
      <c r="A50" s="27"/>
      <c r="B50" s="18"/>
      <c r="C50" s="166">
        <f t="shared" si="1"/>
        <v>0</v>
      </c>
      <c r="D50" s="167"/>
      <c r="E50" s="18" t="s">
        <v>186</v>
      </c>
      <c r="F50" s="30" t="s">
        <v>184</v>
      </c>
      <c r="G50" s="168"/>
      <c r="H50" s="169"/>
    </row>
    <row r="51" spans="1:8" x14ac:dyDescent="0.5">
      <c r="A51" s="27"/>
      <c r="B51" s="18"/>
      <c r="C51" s="166">
        <f t="shared" si="1"/>
        <v>0</v>
      </c>
      <c r="D51" s="167"/>
      <c r="E51" s="18" t="s">
        <v>91</v>
      </c>
      <c r="F51" s="30" t="s">
        <v>92</v>
      </c>
      <c r="G51" s="168"/>
      <c r="H51" s="169"/>
    </row>
    <row r="52" spans="1:8" x14ac:dyDescent="0.5">
      <c r="A52" s="27"/>
      <c r="B52" s="18"/>
      <c r="C52" s="166">
        <f t="shared" si="1"/>
        <v>0</v>
      </c>
      <c r="D52" s="167"/>
      <c r="E52" s="18" t="s">
        <v>110</v>
      </c>
      <c r="F52" s="30" t="s">
        <v>211</v>
      </c>
      <c r="G52" s="168"/>
      <c r="H52" s="169"/>
    </row>
    <row r="53" spans="1:8" x14ac:dyDescent="0.5">
      <c r="A53" s="27"/>
      <c r="B53" s="18"/>
      <c r="C53" s="166">
        <f t="shared" si="1"/>
        <v>0</v>
      </c>
      <c r="D53" s="167"/>
      <c r="E53" s="18" t="s">
        <v>113</v>
      </c>
      <c r="F53" s="30"/>
      <c r="G53" s="168"/>
      <c r="H53" s="169"/>
    </row>
    <row r="54" spans="1:8" x14ac:dyDescent="0.5">
      <c r="A54" s="27"/>
      <c r="B54" s="18"/>
      <c r="C54" s="170">
        <f>SUM(C21:C53)</f>
        <v>2200706.67</v>
      </c>
      <c r="D54" s="171"/>
      <c r="E54" s="18"/>
      <c r="F54" s="30"/>
      <c r="G54" s="172">
        <f>SUM(G21:G53)</f>
        <v>2200706.67</v>
      </c>
      <c r="H54" s="173"/>
    </row>
    <row r="55" spans="1:8" ht="24" thickBot="1" x14ac:dyDescent="0.55000000000000004">
      <c r="A55" s="27"/>
      <c r="C55" s="174">
        <f>C19+C54</f>
        <v>9321613.0599999987</v>
      </c>
      <c r="D55" s="175"/>
      <c r="E55" s="94" t="s">
        <v>34</v>
      </c>
      <c r="F55" s="26"/>
      <c r="G55" s="174">
        <f>G19+G54</f>
        <v>9321613.0599999987</v>
      </c>
      <c r="H55" s="175"/>
    </row>
    <row r="56" spans="1:8" ht="24" thickTop="1" x14ac:dyDescent="0.5">
      <c r="A56" s="182" t="s">
        <v>94</v>
      </c>
      <c r="B56" s="182"/>
      <c r="C56" s="182"/>
      <c r="D56" s="182"/>
      <c r="E56" s="182"/>
      <c r="F56" s="182"/>
      <c r="G56" s="182"/>
      <c r="H56" s="182"/>
    </row>
    <row r="57" spans="1:8" x14ac:dyDescent="0.5">
      <c r="A57" s="182" t="s">
        <v>146</v>
      </c>
      <c r="B57" s="182"/>
      <c r="C57" s="182"/>
      <c r="D57" s="182"/>
      <c r="E57" s="182"/>
      <c r="F57" s="182"/>
      <c r="G57" s="182"/>
      <c r="H57" s="182"/>
    </row>
    <row r="58" spans="1:8" x14ac:dyDescent="0.5">
      <c r="A58" s="14"/>
      <c r="B58" s="1"/>
      <c r="C58" s="1"/>
      <c r="D58" s="1"/>
      <c r="E58" s="1"/>
      <c r="F58" s="183" t="s">
        <v>220</v>
      </c>
      <c r="G58" s="183"/>
      <c r="H58" s="183"/>
    </row>
    <row r="59" spans="1:8" x14ac:dyDescent="0.5">
      <c r="A59" s="182" t="s">
        <v>17</v>
      </c>
      <c r="B59" s="182"/>
      <c r="C59" s="182"/>
      <c r="D59" s="182"/>
      <c r="E59" s="182"/>
      <c r="F59" s="182"/>
      <c r="G59" s="182"/>
      <c r="H59" s="182"/>
    </row>
    <row r="60" spans="1:8" ht="24" thickBot="1" x14ac:dyDescent="0.55000000000000004">
      <c r="A60" s="56"/>
      <c r="B60" s="23"/>
      <c r="C60" s="23"/>
      <c r="D60" s="23"/>
      <c r="E60" s="23"/>
      <c r="F60" s="184" t="s">
        <v>222</v>
      </c>
      <c r="G60" s="184"/>
      <c r="H60" s="184"/>
    </row>
    <row r="61" spans="1:8" ht="24" thickTop="1" x14ac:dyDescent="0.5">
      <c r="A61" s="185" t="s">
        <v>18</v>
      </c>
      <c r="B61" s="185"/>
      <c r="C61" s="185"/>
      <c r="D61" s="185"/>
      <c r="E61" s="21"/>
      <c r="F61" s="185" t="s">
        <v>19</v>
      </c>
      <c r="G61" s="185"/>
      <c r="H61" s="185"/>
    </row>
    <row r="62" spans="1:8" x14ac:dyDescent="0.5">
      <c r="A62" s="186" t="s">
        <v>20</v>
      </c>
      <c r="B62" s="187"/>
      <c r="C62" s="188" t="s">
        <v>22</v>
      </c>
      <c r="D62" s="188"/>
      <c r="E62" s="189" t="s">
        <v>0</v>
      </c>
      <c r="F62" s="106" t="s">
        <v>23</v>
      </c>
      <c r="G62" s="186" t="s">
        <v>22</v>
      </c>
      <c r="H62" s="187"/>
    </row>
    <row r="63" spans="1:8" ht="24" thickBot="1" x14ac:dyDescent="0.55000000000000004">
      <c r="A63" s="191" t="s">
        <v>21</v>
      </c>
      <c r="B63" s="192"/>
      <c r="C63" s="193" t="s">
        <v>21</v>
      </c>
      <c r="D63" s="193"/>
      <c r="E63" s="190"/>
      <c r="F63" s="107" t="s">
        <v>24</v>
      </c>
      <c r="G63" s="191" t="s">
        <v>21</v>
      </c>
      <c r="H63" s="192"/>
    </row>
    <row r="64" spans="1:8" ht="24" thickTop="1" x14ac:dyDescent="0.5">
      <c r="A64" s="13"/>
      <c r="B64" s="21"/>
      <c r="C64" s="180">
        <f>C9</f>
        <v>74345996.209999993</v>
      </c>
      <c r="D64" s="181"/>
      <c r="E64" s="8" t="s">
        <v>25</v>
      </c>
      <c r="F64" s="24"/>
      <c r="G64" s="180">
        <f>'ใบต่อ  55'!G51:H51</f>
        <v>76495547.959999993</v>
      </c>
      <c r="H64" s="181"/>
    </row>
    <row r="65" spans="1:8" x14ac:dyDescent="0.5">
      <c r="A65" s="5"/>
      <c r="B65" s="4"/>
      <c r="C65" s="178"/>
      <c r="D65" s="179"/>
      <c r="E65" s="8" t="s">
        <v>42</v>
      </c>
      <c r="F65" s="25" t="s">
        <v>70</v>
      </c>
      <c r="G65" s="178"/>
      <c r="H65" s="179"/>
    </row>
    <row r="66" spans="1:8" x14ac:dyDescent="0.5">
      <c r="A66" s="5">
        <v>5670000</v>
      </c>
      <c r="B66" s="3" t="s">
        <v>16</v>
      </c>
      <c r="C66" s="178">
        <f t="shared" ref="C66:C73" si="2">C11+G66</f>
        <v>116982.66</v>
      </c>
      <c r="D66" s="179"/>
      <c r="E66" s="8" t="s">
        <v>26</v>
      </c>
      <c r="F66" s="25" t="s">
        <v>76</v>
      </c>
      <c r="G66" s="178">
        <v>20129.939999999999</v>
      </c>
      <c r="H66" s="179"/>
    </row>
    <row r="67" spans="1:8" x14ac:dyDescent="0.5">
      <c r="A67" s="5">
        <v>1198500</v>
      </c>
      <c r="B67" s="3" t="s">
        <v>16</v>
      </c>
      <c r="C67" s="178">
        <f t="shared" si="2"/>
        <v>163466.5</v>
      </c>
      <c r="D67" s="179"/>
      <c r="E67" s="8" t="s">
        <v>27</v>
      </c>
      <c r="F67" s="25" t="s">
        <v>77</v>
      </c>
      <c r="G67" s="178">
        <v>84455.25</v>
      </c>
      <c r="H67" s="179"/>
    </row>
    <row r="68" spans="1:8" x14ac:dyDescent="0.5">
      <c r="A68" s="5">
        <v>451000</v>
      </c>
      <c r="B68" s="3" t="s">
        <v>16</v>
      </c>
      <c r="C68" s="178">
        <f t="shared" si="2"/>
        <v>1026266.76</v>
      </c>
      <c r="D68" s="179"/>
      <c r="E68" s="8" t="s">
        <v>28</v>
      </c>
      <c r="F68" s="25" t="s">
        <v>78</v>
      </c>
      <c r="G68" s="178">
        <v>1021266.76</v>
      </c>
      <c r="H68" s="179"/>
    </row>
    <row r="69" spans="1:8" x14ac:dyDescent="0.5">
      <c r="A69" s="5">
        <v>1000</v>
      </c>
      <c r="B69" s="3" t="s">
        <v>16</v>
      </c>
      <c r="C69" s="178">
        <f t="shared" si="2"/>
        <v>0</v>
      </c>
      <c r="D69" s="179"/>
      <c r="E69" s="8" t="s">
        <v>29</v>
      </c>
      <c r="F69" s="25" t="s">
        <v>80</v>
      </c>
      <c r="G69" s="178"/>
      <c r="H69" s="179"/>
    </row>
    <row r="70" spans="1:8" x14ac:dyDescent="0.5">
      <c r="A70" s="5">
        <v>184500</v>
      </c>
      <c r="B70" s="3" t="s">
        <v>16</v>
      </c>
      <c r="C70" s="178">
        <f t="shared" si="2"/>
        <v>235658</v>
      </c>
      <c r="D70" s="179"/>
      <c r="E70" s="8" t="s">
        <v>198</v>
      </c>
      <c r="F70" s="25" t="s">
        <v>79</v>
      </c>
      <c r="G70" s="178">
        <v>34692</v>
      </c>
      <c r="H70" s="179"/>
    </row>
    <row r="71" spans="1:8" x14ac:dyDescent="0.5">
      <c r="A71" s="2">
        <v>1000</v>
      </c>
      <c r="B71" s="3"/>
      <c r="C71" s="178">
        <f t="shared" si="2"/>
        <v>0</v>
      </c>
      <c r="D71" s="179"/>
      <c r="E71" s="8" t="s">
        <v>30</v>
      </c>
      <c r="F71" s="25" t="s">
        <v>81</v>
      </c>
      <c r="G71" s="178"/>
      <c r="H71" s="179"/>
    </row>
    <row r="72" spans="1:8" x14ac:dyDescent="0.5">
      <c r="A72" s="5">
        <v>59294000</v>
      </c>
      <c r="B72" s="3" t="s">
        <v>16</v>
      </c>
      <c r="C72" s="178">
        <f t="shared" si="2"/>
        <v>13978789.82</v>
      </c>
      <c r="D72" s="179"/>
      <c r="E72" s="8" t="s">
        <v>31</v>
      </c>
      <c r="F72" s="25" t="s">
        <v>82</v>
      </c>
      <c r="G72" s="178">
        <v>7239713.4000000004</v>
      </c>
      <c r="H72" s="179"/>
    </row>
    <row r="73" spans="1:8" x14ac:dyDescent="0.5">
      <c r="A73" s="5">
        <v>29500000</v>
      </c>
      <c r="B73" s="3" t="s">
        <v>16</v>
      </c>
      <c r="C73" s="178">
        <f t="shared" si="2"/>
        <v>3151210</v>
      </c>
      <c r="D73" s="179"/>
      <c r="E73" s="8" t="s">
        <v>13</v>
      </c>
      <c r="F73" s="25" t="s">
        <v>83</v>
      </c>
      <c r="G73" s="168">
        <v>3151210</v>
      </c>
      <c r="H73" s="169"/>
    </row>
    <row r="74" spans="1:8" ht="24" thickBot="1" x14ac:dyDescent="0.55000000000000004">
      <c r="A74" s="61">
        <f>SUM(A66:A73)</f>
        <v>96300000</v>
      </c>
      <c r="B74" s="57" t="s">
        <v>16</v>
      </c>
      <c r="C74" s="174">
        <f>SUM(C66:C73)</f>
        <v>18672373.740000002</v>
      </c>
      <c r="D74" s="175"/>
      <c r="F74" s="25"/>
      <c r="G74" s="174">
        <f>SUM(G66:G73)</f>
        <v>11551467.35</v>
      </c>
      <c r="H74" s="175"/>
    </row>
    <row r="75" spans="1:8" ht="24" thickTop="1" x14ac:dyDescent="0.5">
      <c r="A75" s="27"/>
      <c r="B75" s="18"/>
      <c r="C75" s="176"/>
      <c r="D75" s="177"/>
      <c r="E75" s="39" t="s">
        <v>226</v>
      </c>
      <c r="F75" s="30"/>
      <c r="G75" s="176">
        <v>0</v>
      </c>
      <c r="H75" s="177"/>
    </row>
    <row r="76" spans="1:8" x14ac:dyDescent="0.5">
      <c r="A76" s="27">
        <f>A74-96300000</f>
        <v>0</v>
      </c>
      <c r="B76" s="18"/>
      <c r="C76" s="166">
        <f>G76</f>
        <v>3739800</v>
      </c>
      <c r="D76" s="167"/>
      <c r="E76" s="18" t="s">
        <v>236</v>
      </c>
      <c r="F76" s="30"/>
      <c r="G76" s="166">
        <v>3739800</v>
      </c>
      <c r="H76" s="167"/>
    </row>
    <row r="77" spans="1:8" x14ac:dyDescent="0.5">
      <c r="A77" s="27"/>
      <c r="B77" s="18"/>
      <c r="C77" s="166">
        <f>G77</f>
        <v>495000</v>
      </c>
      <c r="D77" s="167"/>
      <c r="E77" s="18" t="s">
        <v>237</v>
      </c>
      <c r="F77" s="30"/>
      <c r="G77" s="166">
        <v>495000</v>
      </c>
      <c r="H77" s="167"/>
    </row>
    <row r="78" spans="1:8" x14ac:dyDescent="0.5">
      <c r="A78" s="27"/>
      <c r="B78" s="18"/>
      <c r="C78" s="166"/>
      <c r="D78" s="167"/>
      <c r="E78" s="39" t="s">
        <v>227</v>
      </c>
      <c r="F78" s="30"/>
      <c r="G78" s="168"/>
      <c r="H78" s="169"/>
    </row>
    <row r="79" spans="1:8" x14ac:dyDescent="0.5">
      <c r="A79" s="27"/>
      <c r="B79" s="18"/>
      <c r="C79" s="166">
        <f>G79</f>
        <v>57300</v>
      </c>
      <c r="D79" s="167"/>
      <c r="E79" s="18" t="s">
        <v>232</v>
      </c>
      <c r="F79" s="30"/>
      <c r="G79" s="166">
        <v>57300</v>
      </c>
      <c r="H79" s="167"/>
    </row>
    <row r="80" spans="1:8" x14ac:dyDescent="0.5">
      <c r="A80" s="27"/>
      <c r="B80" s="18"/>
      <c r="C80" s="166">
        <f t="shared" ref="C80:C87" si="3">G80</f>
        <v>98100</v>
      </c>
      <c r="D80" s="167"/>
      <c r="E80" s="18" t="s">
        <v>233</v>
      </c>
      <c r="F80" s="30"/>
      <c r="G80" s="166">
        <f>84600+13500</f>
        <v>98100</v>
      </c>
      <c r="H80" s="167"/>
    </row>
    <row r="81" spans="1:8" x14ac:dyDescent="0.5">
      <c r="A81" s="27"/>
      <c r="B81" s="18"/>
      <c r="C81" s="166">
        <f t="shared" si="3"/>
        <v>4905</v>
      </c>
      <c r="D81" s="167"/>
      <c r="E81" s="18" t="s">
        <v>234</v>
      </c>
      <c r="F81" s="30"/>
      <c r="G81" s="166">
        <v>4905</v>
      </c>
      <c r="H81" s="167"/>
    </row>
    <row r="82" spans="1:8" x14ac:dyDescent="0.5">
      <c r="A82" s="27"/>
      <c r="B82" s="18"/>
      <c r="C82" s="166">
        <f t="shared" si="3"/>
        <v>6000</v>
      </c>
      <c r="D82" s="167"/>
      <c r="E82" s="18" t="s">
        <v>235</v>
      </c>
      <c r="F82" s="30"/>
      <c r="G82" s="166">
        <v>6000</v>
      </c>
      <c r="H82" s="167"/>
    </row>
    <row r="83" spans="1:8" x14ac:dyDescent="0.5">
      <c r="A83" s="27"/>
      <c r="B83" s="18"/>
      <c r="C83" s="166">
        <v>1223205</v>
      </c>
      <c r="D83" s="167"/>
      <c r="E83" s="18" t="s">
        <v>244</v>
      </c>
      <c r="F83" s="30"/>
      <c r="G83" s="166"/>
      <c r="H83" s="167"/>
    </row>
    <row r="84" spans="1:8" x14ac:dyDescent="0.5">
      <c r="A84" s="27"/>
      <c r="B84" s="18"/>
      <c r="C84" s="166">
        <f t="shared" si="3"/>
        <v>46750</v>
      </c>
      <c r="D84" s="167"/>
      <c r="E84" s="18" t="s">
        <v>231</v>
      </c>
      <c r="F84" s="30"/>
      <c r="G84" s="166">
        <v>46750</v>
      </c>
      <c r="H84" s="167"/>
    </row>
    <row r="85" spans="1:8" x14ac:dyDescent="0.5">
      <c r="A85" s="27"/>
      <c r="B85" s="18"/>
      <c r="C85" s="166">
        <f t="shared" si="3"/>
        <v>548210</v>
      </c>
      <c r="D85" s="167"/>
      <c r="E85" s="18" t="s">
        <v>228</v>
      </c>
      <c r="F85" s="30"/>
      <c r="G85" s="168">
        <f>385700+65020+97490</f>
        <v>548210</v>
      </c>
      <c r="H85" s="169"/>
    </row>
    <row r="86" spans="1:8" x14ac:dyDescent="0.5">
      <c r="A86" s="27"/>
      <c r="B86" s="18"/>
      <c r="C86" s="166">
        <f t="shared" si="3"/>
        <v>10800</v>
      </c>
      <c r="D86" s="167"/>
      <c r="E86" s="18" t="s">
        <v>229</v>
      </c>
      <c r="F86" s="30"/>
      <c r="G86" s="166">
        <v>10800</v>
      </c>
      <c r="H86" s="167"/>
    </row>
    <row r="87" spans="1:8" x14ac:dyDescent="0.5">
      <c r="A87" s="27"/>
      <c r="B87" s="18"/>
      <c r="C87" s="166">
        <f t="shared" si="3"/>
        <v>57300</v>
      </c>
      <c r="D87" s="167"/>
      <c r="E87" s="18" t="s">
        <v>230</v>
      </c>
      <c r="F87" s="30"/>
      <c r="G87" s="168">
        <v>57300</v>
      </c>
      <c r="H87" s="169"/>
    </row>
    <row r="88" spans="1:8" x14ac:dyDescent="0.5">
      <c r="A88" s="27"/>
      <c r="B88" s="18"/>
      <c r="C88" s="166">
        <f t="shared" ref="C88:C94" si="4">C35+G88</f>
        <v>1791460.7800000003</v>
      </c>
      <c r="D88" s="167"/>
      <c r="E88" s="18" t="s">
        <v>32</v>
      </c>
      <c r="F88" s="30" t="s">
        <v>73</v>
      </c>
      <c r="G88" s="168">
        <f>'รายละเอียด(หมายเหตุ2)'!D60</f>
        <v>1149196.1600000001</v>
      </c>
      <c r="H88" s="169"/>
    </row>
    <row r="89" spans="1:8" x14ac:dyDescent="0.5">
      <c r="A89" s="27"/>
      <c r="B89" s="18"/>
      <c r="C89" s="166">
        <f t="shared" si="4"/>
        <v>243626</v>
      </c>
      <c r="D89" s="167"/>
      <c r="E89" s="18" t="s">
        <v>33</v>
      </c>
      <c r="F89" s="30" t="s">
        <v>60</v>
      </c>
      <c r="G89" s="168">
        <f>3900+128700+5900+3600+80000+19300</f>
        <v>241400</v>
      </c>
      <c r="H89" s="169"/>
    </row>
    <row r="90" spans="1:8" x14ac:dyDescent="0.5">
      <c r="A90" s="27"/>
      <c r="B90" s="18"/>
      <c r="C90" s="166">
        <f t="shared" si="4"/>
        <v>4000</v>
      </c>
      <c r="D90" s="167"/>
      <c r="E90" s="18" t="s">
        <v>55</v>
      </c>
      <c r="F90" s="30" t="s">
        <v>59</v>
      </c>
      <c r="G90" s="166">
        <v>2600</v>
      </c>
      <c r="H90" s="167"/>
    </row>
    <row r="91" spans="1:8" x14ac:dyDescent="0.5">
      <c r="A91" s="27"/>
      <c r="B91" s="18"/>
      <c r="C91" s="166">
        <f t="shared" si="4"/>
        <v>3500</v>
      </c>
      <c r="D91" s="167"/>
      <c r="E91" s="18" t="s">
        <v>136</v>
      </c>
      <c r="F91" s="30" t="s">
        <v>140</v>
      </c>
      <c r="G91" s="168">
        <v>1750</v>
      </c>
      <c r="H91" s="169"/>
    </row>
    <row r="92" spans="1:8" x14ac:dyDescent="0.5">
      <c r="A92" s="27"/>
      <c r="B92" s="18"/>
      <c r="C92" s="166">
        <f t="shared" si="4"/>
        <v>316210</v>
      </c>
      <c r="D92" s="167"/>
      <c r="E92" s="18" t="s">
        <v>101</v>
      </c>
      <c r="F92" s="30" t="s">
        <v>141</v>
      </c>
      <c r="G92" s="168">
        <v>250</v>
      </c>
      <c r="H92" s="169"/>
    </row>
    <row r="93" spans="1:8" x14ac:dyDescent="0.5">
      <c r="A93" s="27"/>
      <c r="B93" s="18"/>
      <c r="C93" s="166">
        <f t="shared" si="4"/>
        <v>9472.4499999999989</v>
      </c>
      <c r="D93" s="167"/>
      <c r="E93" s="18" t="s">
        <v>137</v>
      </c>
      <c r="F93" s="30" t="s">
        <v>142</v>
      </c>
      <c r="G93" s="168">
        <v>30.4</v>
      </c>
      <c r="H93" s="169"/>
    </row>
    <row r="94" spans="1:8" x14ac:dyDescent="0.5">
      <c r="A94" s="27"/>
      <c r="B94" s="18"/>
      <c r="C94" s="166">
        <f t="shared" si="4"/>
        <v>5200</v>
      </c>
      <c r="D94" s="167"/>
      <c r="E94" s="18" t="s">
        <v>124</v>
      </c>
      <c r="F94" s="30" t="s">
        <v>143</v>
      </c>
      <c r="G94" s="168">
        <v>800</v>
      </c>
      <c r="H94" s="169"/>
    </row>
    <row r="95" spans="1:8" x14ac:dyDescent="0.5">
      <c r="A95" s="27"/>
      <c r="B95" s="18"/>
      <c r="C95" s="166">
        <v>0</v>
      </c>
      <c r="D95" s="167"/>
      <c r="E95" s="18" t="s">
        <v>114</v>
      </c>
      <c r="F95" s="30" t="s">
        <v>139</v>
      </c>
      <c r="G95" s="168"/>
      <c r="H95" s="169"/>
    </row>
    <row r="96" spans="1:8" x14ac:dyDescent="0.5">
      <c r="A96" s="27"/>
      <c r="B96" s="18"/>
      <c r="C96" s="166">
        <f>C44+G96</f>
        <v>0</v>
      </c>
      <c r="D96" s="167"/>
      <c r="E96" s="18" t="s">
        <v>13</v>
      </c>
      <c r="F96" s="30" t="s">
        <v>67</v>
      </c>
      <c r="G96" s="168"/>
      <c r="H96" s="169"/>
    </row>
    <row r="97" spans="1:8" x14ac:dyDescent="0.5">
      <c r="A97" s="27"/>
      <c r="B97" s="18"/>
      <c r="C97" s="166">
        <f>C45+G97</f>
        <v>59</v>
      </c>
      <c r="D97" s="167"/>
      <c r="E97" s="18" t="s">
        <v>210</v>
      </c>
      <c r="F97" s="30" t="s">
        <v>176</v>
      </c>
      <c r="G97" s="168"/>
      <c r="H97" s="169"/>
    </row>
    <row r="98" spans="1:8" x14ac:dyDescent="0.5">
      <c r="A98" s="27"/>
      <c r="B98" s="18"/>
      <c r="C98" s="166">
        <f>C47+G98</f>
        <v>0</v>
      </c>
      <c r="D98" s="167"/>
      <c r="E98" s="18" t="s">
        <v>15</v>
      </c>
      <c r="F98" s="30" t="s">
        <v>72</v>
      </c>
      <c r="G98" s="168"/>
      <c r="H98" s="169"/>
    </row>
    <row r="99" spans="1:8" x14ac:dyDescent="0.5">
      <c r="A99" s="27"/>
      <c r="B99" s="18"/>
      <c r="C99" s="166">
        <f>C48+G99</f>
        <v>0</v>
      </c>
      <c r="D99" s="167"/>
      <c r="E99" s="18" t="s">
        <v>186</v>
      </c>
      <c r="F99" s="30" t="s">
        <v>184</v>
      </c>
      <c r="G99" s="168"/>
      <c r="H99" s="169"/>
    </row>
    <row r="100" spans="1:8" x14ac:dyDescent="0.5">
      <c r="A100" s="27"/>
      <c r="B100" s="18"/>
      <c r="C100" s="166">
        <f>C49+G100</f>
        <v>0</v>
      </c>
      <c r="D100" s="167"/>
      <c r="E100" s="18" t="s">
        <v>91</v>
      </c>
      <c r="F100" s="30" t="s">
        <v>92</v>
      </c>
      <c r="G100" s="168"/>
      <c r="H100" s="169"/>
    </row>
    <row r="101" spans="1:8" x14ac:dyDescent="0.5">
      <c r="A101" s="27"/>
      <c r="B101" s="18"/>
      <c r="C101" s="166">
        <f>C50+G101</f>
        <v>0</v>
      </c>
      <c r="D101" s="167"/>
      <c r="E101" s="18" t="s">
        <v>110</v>
      </c>
      <c r="F101" s="30" t="s">
        <v>211</v>
      </c>
      <c r="G101" s="168"/>
      <c r="H101" s="169"/>
    </row>
    <row r="102" spans="1:8" x14ac:dyDescent="0.5">
      <c r="A102" s="27"/>
      <c r="B102" s="18"/>
      <c r="C102" s="166">
        <f>C51+G102</f>
        <v>0</v>
      </c>
      <c r="D102" s="167"/>
      <c r="E102" s="18" t="s">
        <v>113</v>
      </c>
      <c r="F102" s="30"/>
      <c r="G102" s="168"/>
      <c r="H102" s="169"/>
    </row>
    <row r="103" spans="1:8" x14ac:dyDescent="0.5">
      <c r="A103" s="27"/>
      <c r="B103" s="18"/>
      <c r="C103" s="170">
        <f>SUM(C76:C102)</f>
        <v>8660898.2300000004</v>
      </c>
      <c r="D103" s="171"/>
      <c r="E103" s="18"/>
      <c r="F103" s="30"/>
      <c r="G103" s="172">
        <f>SUM(G76:G102)</f>
        <v>6460191.5600000005</v>
      </c>
      <c r="H103" s="173"/>
    </row>
    <row r="104" spans="1:8" ht="24" thickBot="1" x14ac:dyDescent="0.55000000000000004">
      <c r="A104" s="27"/>
      <c r="C104" s="174">
        <f>C74+C103</f>
        <v>27333271.970000003</v>
      </c>
      <c r="D104" s="175"/>
      <c r="E104" s="105" t="s">
        <v>34</v>
      </c>
      <c r="F104" s="26"/>
      <c r="G104" s="174">
        <f>G74+G103</f>
        <v>18011658.91</v>
      </c>
      <c r="H104" s="175"/>
    </row>
    <row r="105" spans="1:8" ht="24" thickTop="1" x14ac:dyDescent="0.5">
      <c r="A105" s="182" t="s">
        <v>94</v>
      </c>
      <c r="B105" s="182"/>
      <c r="C105" s="182"/>
      <c r="D105" s="182"/>
      <c r="E105" s="182"/>
      <c r="F105" s="182"/>
      <c r="G105" s="182"/>
      <c r="H105" s="182"/>
    </row>
    <row r="106" spans="1:8" x14ac:dyDescent="0.5">
      <c r="A106" s="182" t="s">
        <v>146</v>
      </c>
      <c r="B106" s="182"/>
      <c r="C106" s="182"/>
      <c r="D106" s="182"/>
      <c r="E106" s="182"/>
      <c r="F106" s="182"/>
      <c r="G106" s="182"/>
      <c r="H106" s="182"/>
    </row>
    <row r="107" spans="1:8" x14ac:dyDescent="0.5">
      <c r="A107" s="14"/>
      <c r="B107" s="1"/>
      <c r="C107" s="1"/>
      <c r="D107" s="1"/>
      <c r="E107" s="1"/>
      <c r="F107" s="183" t="s">
        <v>220</v>
      </c>
      <c r="G107" s="183"/>
      <c r="H107" s="183"/>
    </row>
    <row r="108" spans="1:8" x14ac:dyDescent="0.5">
      <c r="A108" s="182" t="s">
        <v>17</v>
      </c>
      <c r="B108" s="182"/>
      <c r="C108" s="182"/>
      <c r="D108" s="182"/>
      <c r="E108" s="182"/>
      <c r="F108" s="182"/>
      <c r="G108" s="182"/>
      <c r="H108" s="182"/>
    </row>
    <row r="109" spans="1:8" ht="24" thickBot="1" x14ac:dyDescent="0.55000000000000004">
      <c r="A109" s="56"/>
      <c r="B109" s="23"/>
      <c r="C109" s="23"/>
      <c r="D109" s="23"/>
      <c r="E109" s="23"/>
      <c r="F109" s="184" t="s">
        <v>240</v>
      </c>
      <c r="G109" s="184"/>
      <c r="H109" s="184"/>
    </row>
    <row r="110" spans="1:8" ht="24" thickTop="1" x14ac:dyDescent="0.5">
      <c r="A110" s="185" t="s">
        <v>18</v>
      </c>
      <c r="B110" s="185"/>
      <c r="C110" s="185"/>
      <c r="D110" s="185"/>
      <c r="E110" s="21"/>
      <c r="F110" s="185" t="s">
        <v>19</v>
      </c>
      <c r="G110" s="185"/>
      <c r="H110" s="185"/>
    </row>
    <row r="111" spans="1:8" x14ac:dyDescent="0.5">
      <c r="A111" s="186" t="s">
        <v>20</v>
      </c>
      <c r="B111" s="187"/>
      <c r="C111" s="188" t="s">
        <v>22</v>
      </c>
      <c r="D111" s="188"/>
      <c r="E111" s="189" t="s">
        <v>0</v>
      </c>
      <c r="F111" s="113" t="s">
        <v>23</v>
      </c>
      <c r="G111" s="186" t="s">
        <v>22</v>
      </c>
      <c r="H111" s="187"/>
    </row>
    <row r="112" spans="1:8" ht="24" thickBot="1" x14ac:dyDescent="0.55000000000000004">
      <c r="A112" s="191" t="s">
        <v>21</v>
      </c>
      <c r="B112" s="192"/>
      <c r="C112" s="193" t="s">
        <v>21</v>
      </c>
      <c r="D112" s="193"/>
      <c r="E112" s="190"/>
      <c r="F112" s="114" t="s">
        <v>24</v>
      </c>
      <c r="G112" s="191" t="s">
        <v>21</v>
      </c>
      <c r="H112" s="192"/>
    </row>
    <row r="113" spans="1:9" ht="24" thickTop="1" x14ac:dyDescent="0.5">
      <c r="A113" s="13"/>
      <c r="B113" s="21"/>
      <c r="C113" s="180">
        <f>C64</f>
        <v>74345996.209999993</v>
      </c>
      <c r="D113" s="181"/>
      <c r="E113" s="8" t="s">
        <v>25</v>
      </c>
      <c r="F113" s="24"/>
      <c r="G113" s="180">
        <f>'ใบต่อ  55'!G105:H105</f>
        <v>86026154.609999985</v>
      </c>
      <c r="H113" s="181"/>
    </row>
    <row r="114" spans="1:9" x14ac:dyDescent="0.5">
      <c r="A114" s="5"/>
      <c r="B114" s="4"/>
      <c r="C114" s="178"/>
      <c r="D114" s="179"/>
      <c r="E114" s="8" t="s">
        <v>42</v>
      </c>
      <c r="F114" s="25" t="s">
        <v>70</v>
      </c>
      <c r="G114" s="178"/>
      <c r="H114" s="179"/>
    </row>
    <row r="115" spans="1:9" x14ac:dyDescent="0.5">
      <c r="A115" s="5">
        <v>5670000</v>
      </c>
      <c r="B115" s="3" t="s">
        <v>16</v>
      </c>
      <c r="C115" s="178">
        <f>C66+G115</f>
        <v>130494</v>
      </c>
      <c r="D115" s="179"/>
      <c r="E115" s="8" t="s">
        <v>26</v>
      </c>
      <c r="F115" s="25" t="s">
        <v>76</v>
      </c>
      <c r="G115" s="178">
        <v>13511.34</v>
      </c>
      <c r="H115" s="179"/>
    </row>
    <row r="116" spans="1:9" x14ac:dyDescent="0.5">
      <c r="A116" s="5">
        <v>1198500</v>
      </c>
      <c r="B116" s="3" t="s">
        <v>16</v>
      </c>
      <c r="C116" s="178">
        <f t="shared" ref="C116:C136" si="5">C67+G116</f>
        <v>359878.25</v>
      </c>
      <c r="D116" s="179"/>
      <c r="E116" s="8" t="s">
        <v>27</v>
      </c>
      <c r="F116" s="25" t="s">
        <v>77</v>
      </c>
      <c r="G116" s="178">
        <v>196411.75</v>
      </c>
      <c r="H116" s="179"/>
    </row>
    <row r="117" spans="1:9" x14ac:dyDescent="0.5">
      <c r="A117" s="5">
        <v>451000</v>
      </c>
      <c r="B117" s="3" t="s">
        <v>16</v>
      </c>
      <c r="C117" s="178">
        <f t="shared" si="5"/>
        <v>1093700.71</v>
      </c>
      <c r="D117" s="179"/>
      <c r="E117" s="8" t="s">
        <v>28</v>
      </c>
      <c r="F117" s="25" t="s">
        <v>78</v>
      </c>
      <c r="G117" s="178">
        <v>67433.95</v>
      </c>
      <c r="H117" s="179"/>
    </row>
    <row r="118" spans="1:9" x14ac:dyDescent="0.5">
      <c r="A118" s="5">
        <v>1000</v>
      </c>
      <c r="B118" s="3" t="s">
        <v>16</v>
      </c>
      <c r="C118" s="178">
        <f t="shared" si="5"/>
        <v>0</v>
      </c>
      <c r="D118" s="179"/>
      <c r="E118" s="8" t="s">
        <v>29</v>
      </c>
      <c r="F118" s="25" t="s">
        <v>80</v>
      </c>
      <c r="G118" s="178"/>
      <c r="H118" s="179"/>
    </row>
    <row r="119" spans="1:9" x14ac:dyDescent="0.5">
      <c r="A119" s="5">
        <v>184500</v>
      </c>
      <c r="B119" s="3" t="s">
        <v>16</v>
      </c>
      <c r="C119" s="178">
        <f t="shared" si="5"/>
        <v>281848</v>
      </c>
      <c r="D119" s="179"/>
      <c r="E119" s="8" t="s">
        <v>198</v>
      </c>
      <c r="F119" s="25" t="s">
        <v>79</v>
      </c>
      <c r="G119" s="178">
        <v>46190</v>
      </c>
      <c r="H119" s="179"/>
    </row>
    <row r="120" spans="1:9" x14ac:dyDescent="0.5">
      <c r="A120" s="2">
        <v>1000</v>
      </c>
      <c r="B120" s="3"/>
      <c r="C120" s="178">
        <f t="shared" si="5"/>
        <v>0</v>
      </c>
      <c r="D120" s="179"/>
      <c r="E120" s="8" t="s">
        <v>30</v>
      </c>
      <c r="F120" s="25" t="s">
        <v>81</v>
      </c>
      <c r="G120" s="178"/>
      <c r="H120" s="179"/>
    </row>
    <row r="121" spans="1:9" x14ac:dyDescent="0.5">
      <c r="A121" s="5">
        <v>59294000</v>
      </c>
      <c r="B121" s="3" t="s">
        <v>16</v>
      </c>
      <c r="C121" s="178">
        <f t="shared" si="5"/>
        <v>15447246.940000001</v>
      </c>
      <c r="D121" s="179"/>
      <c r="E121" s="8" t="s">
        <v>31</v>
      </c>
      <c r="F121" s="25" t="s">
        <v>82</v>
      </c>
      <c r="G121" s="178">
        <v>1468457.12</v>
      </c>
      <c r="H121" s="179"/>
    </row>
    <row r="122" spans="1:9" x14ac:dyDescent="0.5">
      <c r="A122" s="5">
        <v>29500000</v>
      </c>
      <c r="B122" s="3" t="s">
        <v>16</v>
      </c>
      <c r="C122" s="178">
        <f>C73+G122-1223205</f>
        <v>14773499</v>
      </c>
      <c r="D122" s="179"/>
      <c r="E122" s="8" t="s">
        <v>13</v>
      </c>
      <c r="F122" s="25" t="s">
        <v>83</v>
      </c>
      <c r="G122" s="168">
        <v>12845494</v>
      </c>
      <c r="H122" s="169"/>
    </row>
    <row r="123" spans="1:9" ht="24" thickBot="1" x14ac:dyDescent="0.55000000000000004">
      <c r="A123" s="61">
        <f>SUM(A115:A122)</f>
        <v>96300000</v>
      </c>
      <c r="B123" s="57" t="s">
        <v>16</v>
      </c>
      <c r="C123" s="194">
        <f t="shared" si="5"/>
        <v>33309871.900000002</v>
      </c>
      <c r="D123" s="195"/>
      <c r="F123" s="25"/>
      <c r="G123" s="174">
        <f>SUM(G115:G122)</f>
        <v>14637498.16</v>
      </c>
      <c r="H123" s="175"/>
    </row>
    <row r="124" spans="1:9" ht="24" thickTop="1" x14ac:dyDescent="0.5">
      <c r="A124" s="27"/>
      <c r="B124" s="18"/>
      <c r="C124" s="196">
        <f t="shared" si="5"/>
        <v>0</v>
      </c>
      <c r="D124" s="197"/>
      <c r="E124" s="39" t="s">
        <v>226</v>
      </c>
      <c r="F124" s="30"/>
      <c r="G124" s="176">
        <v>0</v>
      </c>
      <c r="H124" s="177"/>
    </row>
    <row r="125" spans="1:9" x14ac:dyDescent="0.5">
      <c r="A125" s="27">
        <f>A123-96300000</f>
        <v>0</v>
      </c>
      <c r="B125" s="18"/>
      <c r="C125" s="178">
        <f t="shared" si="5"/>
        <v>4988500</v>
      </c>
      <c r="D125" s="179"/>
      <c r="E125" s="18" t="s">
        <v>236</v>
      </c>
      <c r="F125" s="30"/>
      <c r="G125" s="166">
        <f>1246600+2100</f>
        <v>1248700</v>
      </c>
      <c r="H125" s="167"/>
    </row>
    <row r="126" spans="1:9" x14ac:dyDescent="0.5">
      <c r="A126" s="27"/>
      <c r="B126" s="18"/>
      <c r="C126" s="178">
        <f t="shared" si="5"/>
        <v>1056500</v>
      </c>
      <c r="D126" s="179"/>
      <c r="E126" s="18" t="s">
        <v>237</v>
      </c>
      <c r="F126" s="30"/>
      <c r="G126" s="166">
        <f>561000+500</f>
        <v>561500</v>
      </c>
      <c r="H126" s="167"/>
    </row>
    <row r="127" spans="1:9" x14ac:dyDescent="0.5">
      <c r="A127" s="27"/>
      <c r="B127" s="18"/>
      <c r="C127" s="178">
        <f t="shared" si="5"/>
        <v>0</v>
      </c>
      <c r="D127" s="179"/>
      <c r="E127" s="39" t="s">
        <v>227</v>
      </c>
      <c r="F127" s="30"/>
      <c r="G127" s="168"/>
      <c r="H127" s="169"/>
    </row>
    <row r="128" spans="1:9" x14ac:dyDescent="0.5">
      <c r="A128" s="27"/>
      <c r="B128" s="18"/>
      <c r="C128" s="178">
        <f t="shared" si="5"/>
        <v>57300</v>
      </c>
      <c r="D128" s="179"/>
      <c r="E128" s="18" t="s">
        <v>232</v>
      </c>
      <c r="F128" s="30"/>
      <c r="G128" s="166"/>
      <c r="H128" s="167"/>
      <c r="I128" s="15">
        <f>C123+C125+C126+C128+C129+C130+C131+C132+C133+C134+C135+C136</f>
        <v>41407441.900000006</v>
      </c>
    </row>
    <row r="129" spans="1:8" x14ac:dyDescent="0.5">
      <c r="A129" s="27"/>
      <c r="B129" s="18"/>
      <c r="C129" s="178">
        <f t="shared" si="5"/>
        <v>98100</v>
      </c>
      <c r="D129" s="179"/>
      <c r="E129" s="18" t="s">
        <v>233</v>
      </c>
      <c r="F129" s="30"/>
      <c r="G129" s="166"/>
      <c r="H129" s="167"/>
    </row>
    <row r="130" spans="1:8" x14ac:dyDescent="0.5">
      <c r="A130" s="27"/>
      <c r="B130" s="18"/>
      <c r="C130" s="178">
        <f t="shared" si="5"/>
        <v>4905</v>
      </c>
      <c r="D130" s="179"/>
      <c r="E130" s="18" t="s">
        <v>234</v>
      </c>
      <c r="F130" s="30"/>
      <c r="G130" s="166"/>
      <c r="H130" s="167"/>
    </row>
    <row r="131" spans="1:8" x14ac:dyDescent="0.5">
      <c r="A131" s="27"/>
      <c r="B131" s="18"/>
      <c r="C131" s="178">
        <f t="shared" si="5"/>
        <v>6000</v>
      </c>
      <c r="D131" s="179"/>
      <c r="E131" s="18" t="s">
        <v>235</v>
      </c>
      <c r="F131" s="30"/>
      <c r="G131" s="166"/>
      <c r="H131" s="167"/>
    </row>
    <row r="132" spans="1:8" x14ac:dyDescent="0.5">
      <c r="A132" s="27"/>
      <c r="B132" s="18"/>
      <c r="C132" s="178">
        <v>1223205</v>
      </c>
      <c r="D132" s="179"/>
      <c r="E132" s="18" t="s">
        <v>244</v>
      </c>
      <c r="F132" s="30"/>
      <c r="G132" s="166"/>
      <c r="H132" s="167"/>
    </row>
    <row r="133" spans="1:8" x14ac:dyDescent="0.5">
      <c r="A133" s="27"/>
      <c r="B133" s="18"/>
      <c r="C133" s="178">
        <f t="shared" si="5"/>
        <v>46750</v>
      </c>
      <c r="D133" s="179"/>
      <c r="E133" s="18" t="s">
        <v>231</v>
      </c>
      <c r="F133" s="30"/>
      <c r="G133" s="166"/>
      <c r="H133" s="167"/>
    </row>
    <row r="134" spans="1:8" x14ac:dyDescent="0.5">
      <c r="A134" s="27"/>
      <c r="B134" s="18"/>
      <c r="C134" s="178">
        <f t="shared" si="5"/>
        <v>548210</v>
      </c>
      <c r="D134" s="179"/>
      <c r="E134" s="18" t="s">
        <v>228</v>
      </c>
      <c r="F134" s="30"/>
      <c r="G134" s="168"/>
      <c r="H134" s="169"/>
    </row>
    <row r="135" spans="1:8" x14ac:dyDescent="0.5">
      <c r="A135" s="27"/>
      <c r="B135" s="18"/>
      <c r="C135" s="178">
        <f t="shared" si="5"/>
        <v>10800</v>
      </c>
      <c r="D135" s="179"/>
      <c r="E135" s="18" t="s">
        <v>229</v>
      </c>
      <c r="F135" s="30"/>
      <c r="G135" s="166"/>
      <c r="H135" s="167"/>
    </row>
    <row r="136" spans="1:8" x14ac:dyDescent="0.5">
      <c r="A136" s="27"/>
      <c r="B136" s="18"/>
      <c r="C136" s="178">
        <f t="shared" si="5"/>
        <v>57300</v>
      </c>
      <c r="D136" s="179"/>
      <c r="E136" s="18" t="s">
        <v>230</v>
      </c>
      <c r="F136" s="30"/>
      <c r="G136" s="168"/>
      <c r="H136" s="169"/>
    </row>
    <row r="137" spans="1:8" x14ac:dyDescent="0.5">
      <c r="A137" s="27"/>
      <c r="B137" s="18"/>
      <c r="C137" s="178">
        <f t="shared" ref="C137:C151" si="6">C88+G137</f>
        <v>2327910.66</v>
      </c>
      <c r="D137" s="179"/>
      <c r="E137" s="18" t="s">
        <v>32</v>
      </c>
      <c r="F137" s="30" t="s">
        <v>73</v>
      </c>
      <c r="G137" s="168">
        <f>'รายละเอียด(หมายเหตุ2)'!D96</f>
        <v>536449.88</v>
      </c>
      <c r="H137" s="169"/>
    </row>
    <row r="138" spans="1:8" x14ac:dyDescent="0.5">
      <c r="A138" s="27"/>
      <c r="B138" s="18"/>
      <c r="C138" s="178">
        <f t="shared" si="6"/>
        <v>487184</v>
      </c>
      <c r="D138" s="179"/>
      <c r="E138" s="18" t="s">
        <v>33</v>
      </c>
      <c r="F138" s="30" t="s">
        <v>60</v>
      </c>
      <c r="G138" s="168">
        <f>6852+6852+6852+203950+2800+6852+7000+2400</f>
        <v>243558</v>
      </c>
      <c r="H138" s="169"/>
    </row>
    <row r="139" spans="1:8" x14ac:dyDescent="0.5">
      <c r="A139" s="27"/>
      <c r="B139" s="18"/>
      <c r="C139" s="178">
        <f t="shared" si="6"/>
        <v>3142620</v>
      </c>
      <c r="D139" s="179"/>
      <c r="E139" s="18" t="s">
        <v>55</v>
      </c>
      <c r="F139" s="30" t="s">
        <v>59</v>
      </c>
      <c r="G139" s="166">
        <f>153500+91700+1082900+1076000+1990+53200+61600+346330+8000+8000+155500+5500+5000+89400</f>
        <v>3138620</v>
      </c>
      <c r="H139" s="167"/>
    </row>
    <row r="140" spans="1:8" x14ac:dyDescent="0.5">
      <c r="A140" s="27"/>
      <c r="B140" s="18"/>
      <c r="C140" s="178">
        <f t="shared" si="6"/>
        <v>5250</v>
      </c>
      <c r="D140" s="179"/>
      <c r="E140" s="18" t="s">
        <v>136</v>
      </c>
      <c r="F140" s="30" t="s">
        <v>140</v>
      </c>
      <c r="G140" s="168">
        <v>1750</v>
      </c>
      <c r="H140" s="169"/>
    </row>
    <row r="141" spans="1:8" x14ac:dyDescent="0.5">
      <c r="A141" s="27"/>
      <c r="B141" s="18"/>
      <c r="C141" s="178">
        <f t="shared" si="6"/>
        <v>316210</v>
      </c>
      <c r="D141" s="179"/>
      <c r="E141" s="18" t="s">
        <v>101</v>
      </c>
      <c r="F141" s="30" t="s">
        <v>141</v>
      </c>
      <c r="G141" s="168"/>
      <c r="H141" s="169"/>
    </row>
    <row r="142" spans="1:8" x14ac:dyDescent="0.5">
      <c r="A142" s="27"/>
      <c r="B142" s="18"/>
      <c r="C142" s="178">
        <f t="shared" si="6"/>
        <v>9594.9999999999982</v>
      </c>
      <c r="D142" s="179"/>
      <c r="E142" s="18" t="s">
        <v>137</v>
      </c>
      <c r="F142" s="30" t="s">
        <v>142</v>
      </c>
      <c r="G142" s="168">
        <v>122.55</v>
      </c>
      <c r="H142" s="169"/>
    </row>
    <row r="143" spans="1:8" x14ac:dyDescent="0.5">
      <c r="A143" s="27"/>
      <c r="B143" s="18"/>
      <c r="C143" s="178">
        <f t="shared" si="6"/>
        <v>8240</v>
      </c>
      <c r="D143" s="179"/>
      <c r="E143" s="18" t="s">
        <v>124</v>
      </c>
      <c r="F143" s="30" t="s">
        <v>143</v>
      </c>
      <c r="G143" s="168">
        <v>3040</v>
      </c>
      <c r="H143" s="169"/>
    </row>
    <row r="144" spans="1:8" x14ac:dyDescent="0.5">
      <c r="A144" s="27"/>
      <c r="B144" s="18"/>
      <c r="C144" s="178">
        <f t="shared" si="6"/>
        <v>0</v>
      </c>
      <c r="D144" s="179"/>
      <c r="E144" s="18" t="s">
        <v>114</v>
      </c>
      <c r="F144" s="30" t="s">
        <v>139</v>
      </c>
      <c r="G144" s="168"/>
      <c r="H144" s="169"/>
    </row>
    <row r="145" spans="1:8" x14ac:dyDescent="0.5">
      <c r="A145" s="27"/>
      <c r="B145" s="18"/>
      <c r="C145" s="178">
        <f t="shared" si="6"/>
        <v>0</v>
      </c>
      <c r="D145" s="179"/>
      <c r="E145" s="18" t="s">
        <v>13</v>
      </c>
      <c r="F145" s="30" t="s">
        <v>67</v>
      </c>
      <c r="G145" s="168"/>
      <c r="H145" s="169"/>
    </row>
    <row r="146" spans="1:8" x14ac:dyDescent="0.5">
      <c r="A146" s="27"/>
      <c r="B146" s="18"/>
      <c r="C146" s="178">
        <f t="shared" si="6"/>
        <v>59</v>
      </c>
      <c r="D146" s="179"/>
      <c r="E146" s="18" t="s">
        <v>210</v>
      </c>
      <c r="F146" s="30" t="s">
        <v>176</v>
      </c>
      <c r="G146" s="168"/>
      <c r="H146" s="169"/>
    </row>
    <row r="147" spans="1:8" x14ac:dyDescent="0.5">
      <c r="A147" s="27"/>
      <c r="B147" s="18"/>
      <c r="C147" s="178">
        <f t="shared" si="6"/>
        <v>0</v>
      </c>
      <c r="D147" s="179"/>
      <c r="E147" s="18" t="s">
        <v>15</v>
      </c>
      <c r="F147" s="30" t="s">
        <v>72</v>
      </c>
      <c r="G147" s="168"/>
      <c r="H147" s="169"/>
    </row>
    <row r="148" spans="1:8" x14ac:dyDescent="0.5">
      <c r="A148" s="27"/>
      <c r="B148" s="18"/>
      <c r="C148" s="178">
        <f t="shared" si="6"/>
        <v>0</v>
      </c>
      <c r="D148" s="179"/>
      <c r="E148" s="18" t="s">
        <v>186</v>
      </c>
      <c r="F148" s="30" t="s">
        <v>184</v>
      </c>
      <c r="G148" s="168"/>
      <c r="H148" s="169"/>
    </row>
    <row r="149" spans="1:8" x14ac:dyDescent="0.5">
      <c r="A149" s="27"/>
      <c r="B149" s="18"/>
      <c r="C149" s="178">
        <f t="shared" si="6"/>
        <v>0</v>
      </c>
      <c r="D149" s="179"/>
      <c r="E149" s="18" t="s">
        <v>91</v>
      </c>
      <c r="F149" s="30" t="s">
        <v>92</v>
      </c>
      <c r="G149" s="168"/>
      <c r="H149" s="169"/>
    </row>
    <row r="150" spans="1:8" x14ac:dyDescent="0.5">
      <c r="A150" s="27"/>
      <c r="B150" s="18"/>
      <c r="C150" s="178">
        <f t="shared" si="6"/>
        <v>0</v>
      </c>
      <c r="D150" s="179"/>
      <c r="E150" s="18" t="s">
        <v>110</v>
      </c>
      <c r="F150" s="30" t="s">
        <v>211</v>
      </c>
      <c r="G150" s="168"/>
      <c r="H150" s="169"/>
    </row>
    <row r="151" spans="1:8" x14ac:dyDescent="0.5">
      <c r="A151" s="27"/>
      <c r="B151" s="18"/>
      <c r="C151" s="178">
        <f t="shared" si="6"/>
        <v>0</v>
      </c>
      <c r="D151" s="179"/>
      <c r="E151" s="18" t="s">
        <v>113</v>
      </c>
      <c r="F151" s="30"/>
      <c r="G151" s="168"/>
      <c r="H151" s="169"/>
    </row>
    <row r="152" spans="1:8" x14ac:dyDescent="0.5">
      <c r="A152" s="27"/>
      <c r="B152" s="18"/>
      <c r="C152" s="170">
        <f>SUM(C124:C151)</f>
        <v>14394638.66</v>
      </c>
      <c r="D152" s="171"/>
      <c r="E152" s="18"/>
      <c r="F152" s="30"/>
      <c r="G152" s="172">
        <f>SUM(G125:G151)</f>
        <v>5733740.4299999997</v>
      </c>
      <c r="H152" s="173"/>
    </row>
    <row r="153" spans="1:8" ht="24" thickBot="1" x14ac:dyDescent="0.55000000000000004">
      <c r="A153" s="27"/>
      <c r="C153" s="174">
        <f>C123+C152</f>
        <v>47704510.560000002</v>
      </c>
      <c r="D153" s="175"/>
      <c r="E153" s="112" t="s">
        <v>34</v>
      </c>
      <c r="F153" s="26"/>
      <c r="G153" s="174">
        <f>G123+G152</f>
        <v>20371238.59</v>
      </c>
      <c r="H153" s="175"/>
    </row>
    <row r="154" spans="1:8" ht="24" thickTop="1" x14ac:dyDescent="0.5">
      <c r="A154" s="182" t="s">
        <v>94</v>
      </c>
      <c r="B154" s="182"/>
      <c r="C154" s="182"/>
      <c r="D154" s="182"/>
      <c r="E154" s="182"/>
      <c r="F154" s="182"/>
      <c r="G154" s="182"/>
      <c r="H154" s="182"/>
    </row>
    <row r="155" spans="1:8" x14ac:dyDescent="0.5">
      <c r="A155" s="182" t="s">
        <v>146</v>
      </c>
      <c r="B155" s="182"/>
      <c r="C155" s="182"/>
      <c r="D155" s="182"/>
      <c r="E155" s="182"/>
      <c r="F155" s="182"/>
      <c r="G155" s="182"/>
      <c r="H155" s="182"/>
    </row>
    <row r="156" spans="1:8" x14ac:dyDescent="0.5">
      <c r="A156" s="14"/>
      <c r="B156" s="1"/>
      <c r="C156" s="1"/>
      <c r="D156" s="1"/>
      <c r="E156" s="1"/>
      <c r="F156" s="183" t="s">
        <v>220</v>
      </c>
      <c r="G156" s="183"/>
      <c r="H156" s="183"/>
    </row>
    <row r="157" spans="1:8" x14ac:dyDescent="0.5">
      <c r="A157" s="182" t="s">
        <v>17</v>
      </c>
      <c r="B157" s="182"/>
      <c r="C157" s="182"/>
      <c r="D157" s="182"/>
      <c r="E157" s="182"/>
      <c r="F157" s="182"/>
      <c r="G157" s="182"/>
      <c r="H157" s="182"/>
    </row>
    <row r="158" spans="1:8" ht="24" thickBot="1" x14ac:dyDescent="0.55000000000000004">
      <c r="A158" s="56"/>
      <c r="B158" s="23"/>
      <c r="C158" s="23"/>
      <c r="D158" s="23"/>
      <c r="E158" s="23"/>
      <c r="F158" s="184" t="s">
        <v>247</v>
      </c>
      <c r="G158" s="184"/>
      <c r="H158" s="184"/>
    </row>
    <row r="159" spans="1:8" ht="24" thickTop="1" x14ac:dyDescent="0.5">
      <c r="A159" s="185" t="s">
        <v>18</v>
      </c>
      <c r="B159" s="185"/>
      <c r="C159" s="185"/>
      <c r="D159" s="185"/>
      <c r="E159" s="21"/>
      <c r="F159" s="185" t="s">
        <v>19</v>
      </c>
      <c r="G159" s="185"/>
      <c r="H159" s="185"/>
    </row>
    <row r="160" spans="1:8" x14ac:dyDescent="0.5">
      <c r="A160" s="186" t="s">
        <v>20</v>
      </c>
      <c r="B160" s="187"/>
      <c r="C160" s="188" t="s">
        <v>22</v>
      </c>
      <c r="D160" s="188"/>
      <c r="E160" s="189" t="s">
        <v>0</v>
      </c>
      <c r="F160" s="124" t="s">
        <v>23</v>
      </c>
      <c r="G160" s="186" t="s">
        <v>22</v>
      </c>
      <c r="H160" s="187"/>
    </row>
    <row r="161" spans="1:8" ht="24" thickBot="1" x14ac:dyDescent="0.55000000000000004">
      <c r="A161" s="191" t="s">
        <v>21</v>
      </c>
      <c r="B161" s="192"/>
      <c r="C161" s="193" t="s">
        <v>21</v>
      </c>
      <c r="D161" s="193"/>
      <c r="E161" s="190"/>
      <c r="F161" s="125" t="s">
        <v>24</v>
      </c>
      <c r="G161" s="191" t="s">
        <v>21</v>
      </c>
      <c r="H161" s="192"/>
    </row>
    <row r="162" spans="1:8" ht="24" thickTop="1" x14ac:dyDescent="0.5">
      <c r="A162" s="13"/>
      <c r="B162" s="21"/>
      <c r="C162" s="180">
        <f>C113</f>
        <v>74345996.209999993</v>
      </c>
      <c r="D162" s="181"/>
      <c r="E162" s="8" t="s">
        <v>25</v>
      </c>
      <c r="F162" s="24"/>
      <c r="G162" s="180">
        <f>'ใบต่อ  55'!G162:H162</f>
        <v>92473867.979999989</v>
      </c>
      <c r="H162" s="181"/>
    </row>
    <row r="163" spans="1:8" x14ac:dyDescent="0.5">
      <c r="A163" s="5"/>
      <c r="B163" s="4"/>
      <c r="C163" s="178"/>
      <c r="D163" s="179"/>
      <c r="E163" s="8" t="s">
        <v>42</v>
      </c>
      <c r="F163" s="25" t="s">
        <v>70</v>
      </c>
      <c r="G163" s="178"/>
      <c r="H163" s="179"/>
    </row>
    <row r="164" spans="1:8" x14ac:dyDescent="0.5">
      <c r="A164" s="5">
        <v>5670000</v>
      </c>
      <c r="B164" s="3" t="s">
        <v>16</v>
      </c>
      <c r="C164" s="178">
        <f>C115+G164</f>
        <v>495584.33</v>
      </c>
      <c r="D164" s="179"/>
      <c r="E164" s="8" t="s">
        <v>26</v>
      </c>
      <c r="F164" s="25" t="s">
        <v>76</v>
      </c>
      <c r="G164" s="178">
        <f>285489.38+6170.14+862.81+70552+2016</f>
        <v>365090.33</v>
      </c>
      <c r="H164" s="179"/>
    </row>
    <row r="165" spans="1:8" x14ac:dyDescent="0.5">
      <c r="A165" s="5">
        <v>1198500</v>
      </c>
      <c r="B165" s="3" t="s">
        <v>16</v>
      </c>
      <c r="C165" s="178">
        <f t="shared" ref="C165:C170" si="7">C116+G165</f>
        <v>578332.5</v>
      </c>
      <c r="D165" s="179"/>
      <c r="E165" s="8" t="s">
        <v>27</v>
      </c>
      <c r="F165" s="25" t="s">
        <v>77</v>
      </c>
      <c r="G165" s="178">
        <f>300+114920+4400+12900+3310+1190+1450+15300+30005+285+494.25+33900</f>
        <v>218454.25</v>
      </c>
      <c r="H165" s="179"/>
    </row>
    <row r="166" spans="1:8" x14ac:dyDescent="0.5">
      <c r="A166" s="5">
        <v>451000</v>
      </c>
      <c r="B166" s="3" t="s">
        <v>16</v>
      </c>
      <c r="C166" s="178">
        <f t="shared" si="7"/>
        <v>1221148.7</v>
      </c>
      <c r="D166" s="179"/>
      <c r="E166" s="8" t="s">
        <v>28</v>
      </c>
      <c r="F166" s="25" t="s">
        <v>78</v>
      </c>
      <c r="G166" s="178">
        <f>18000+109447.99</f>
        <v>127447.99</v>
      </c>
      <c r="H166" s="179"/>
    </row>
    <row r="167" spans="1:8" x14ac:dyDescent="0.5">
      <c r="A167" s="5">
        <v>1000</v>
      </c>
      <c r="B167" s="3" t="s">
        <v>16</v>
      </c>
      <c r="C167" s="178">
        <f t="shared" si="7"/>
        <v>0</v>
      </c>
      <c r="D167" s="179"/>
      <c r="E167" s="8" t="s">
        <v>29</v>
      </c>
      <c r="F167" s="25" t="s">
        <v>80</v>
      </c>
      <c r="G167" s="178"/>
      <c r="H167" s="179"/>
    </row>
    <row r="168" spans="1:8" x14ac:dyDescent="0.5">
      <c r="A168" s="5">
        <v>184500</v>
      </c>
      <c r="B168" s="3" t="s">
        <v>16</v>
      </c>
      <c r="C168" s="178">
        <f t="shared" si="7"/>
        <v>317156</v>
      </c>
      <c r="D168" s="179"/>
      <c r="E168" s="8" t="s">
        <v>198</v>
      </c>
      <c r="F168" s="25" t="s">
        <v>79</v>
      </c>
      <c r="G168" s="178">
        <f>24500+7200+58+460+3090</f>
        <v>35308</v>
      </c>
      <c r="H168" s="179"/>
    </row>
    <row r="169" spans="1:8" x14ac:dyDescent="0.5">
      <c r="A169" s="2">
        <v>1000</v>
      </c>
      <c r="B169" s="3"/>
      <c r="C169" s="178">
        <f t="shared" si="7"/>
        <v>0</v>
      </c>
      <c r="D169" s="179"/>
      <c r="E169" s="8" t="s">
        <v>30</v>
      </c>
      <c r="F169" s="25" t="s">
        <v>81</v>
      </c>
      <c r="G169" s="178"/>
      <c r="H169" s="179"/>
    </row>
    <row r="170" spans="1:8" x14ac:dyDescent="0.5">
      <c r="A170" s="5">
        <v>59294000</v>
      </c>
      <c r="B170" s="3" t="s">
        <v>16</v>
      </c>
      <c r="C170" s="178">
        <f t="shared" si="7"/>
        <v>21453887.890000001</v>
      </c>
      <c r="D170" s="179"/>
      <c r="E170" s="8" t="s">
        <v>31</v>
      </c>
      <c r="F170" s="25" t="s">
        <v>82</v>
      </c>
      <c r="G170" s="178">
        <f>3039847.05+782587.22+504542.43+652990.92+39617.26+65675.07+921381</f>
        <v>6006640.9499999993</v>
      </c>
      <c r="H170" s="179"/>
    </row>
    <row r="171" spans="1:8" x14ac:dyDescent="0.5">
      <c r="A171" s="5">
        <v>29500000</v>
      </c>
      <c r="B171" s="3" t="s">
        <v>16</v>
      </c>
      <c r="C171" s="178">
        <f>C122+G171-1223205</f>
        <v>16438444</v>
      </c>
      <c r="D171" s="179"/>
      <c r="E171" s="8" t="s">
        <v>13</v>
      </c>
      <c r="F171" s="25" t="s">
        <v>83</v>
      </c>
      <c r="G171" s="168">
        <f>75000+829680+364350+21000+296800+1301320</f>
        <v>2888150</v>
      </c>
      <c r="H171" s="169"/>
    </row>
    <row r="172" spans="1:8" ht="24" thickBot="1" x14ac:dyDescent="0.55000000000000004">
      <c r="A172" s="61">
        <f>SUM(A164:A171)</f>
        <v>96300000</v>
      </c>
      <c r="B172" s="57" t="s">
        <v>16</v>
      </c>
      <c r="C172" s="194">
        <f t="shared" ref="C172:C173" si="8">C123+G172</f>
        <v>42950963.420000002</v>
      </c>
      <c r="D172" s="195"/>
      <c r="F172" s="25"/>
      <c r="G172" s="174">
        <f>SUM(G164:G171)</f>
        <v>9641091.5199999996</v>
      </c>
      <c r="H172" s="175"/>
    </row>
    <row r="173" spans="1:8" ht="24" thickTop="1" x14ac:dyDescent="0.5">
      <c r="A173" s="27"/>
      <c r="B173" s="18"/>
      <c r="C173" s="196">
        <f t="shared" si="8"/>
        <v>0</v>
      </c>
      <c r="D173" s="197"/>
      <c r="E173" s="39" t="s">
        <v>226</v>
      </c>
      <c r="F173" s="30"/>
      <c r="G173" s="176">
        <v>0</v>
      </c>
      <c r="H173" s="177"/>
    </row>
    <row r="174" spans="1:8" x14ac:dyDescent="0.5">
      <c r="A174" s="27"/>
      <c r="B174" s="18"/>
      <c r="C174" s="178">
        <f>C125+G174</f>
        <v>6235100</v>
      </c>
      <c r="D174" s="179"/>
      <c r="E174" s="18" t="s">
        <v>236</v>
      </c>
      <c r="F174" s="30"/>
      <c r="G174" s="166">
        <v>1246600</v>
      </c>
      <c r="H174" s="167"/>
    </row>
    <row r="175" spans="1:8" x14ac:dyDescent="0.5">
      <c r="A175" s="27"/>
      <c r="B175" s="18"/>
      <c r="C175" s="178">
        <f t="shared" ref="C175:C182" si="9">C126+G175</f>
        <v>1056500</v>
      </c>
      <c r="D175" s="179"/>
      <c r="E175" s="18" t="s">
        <v>237</v>
      </c>
      <c r="F175" s="30"/>
      <c r="G175" s="166">
        <v>0</v>
      </c>
      <c r="H175" s="167"/>
    </row>
    <row r="176" spans="1:8" x14ac:dyDescent="0.5">
      <c r="A176" s="27"/>
      <c r="B176" s="18"/>
      <c r="C176" s="178">
        <f t="shared" si="9"/>
        <v>0</v>
      </c>
      <c r="D176" s="179"/>
      <c r="E176" s="39" t="s">
        <v>227</v>
      </c>
      <c r="F176" s="30"/>
      <c r="G176" s="168"/>
      <c r="H176" s="169"/>
    </row>
    <row r="177" spans="1:9" x14ac:dyDescent="0.5">
      <c r="A177" s="27"/>
      <c r="B177" s="18"/>
      <c r="C177" s="178">
        <f t="shared" si="9"/>
        <v>57300</v>
      </c>
      <c r="D177" s="179"/>
      <c r="E177" s="18" t="s">
        <v>232</v>
      </c>
      <c r="F177" s="30"/>
      <c r="G177" s="166"/>
      <c r="H177" s="167"/>
      <c r="I177" s="15">
        <f>C172+C174+C175+C177+C178+C179+C180+C181+C182+C183+C184+C185</f>
        <v>52295133.420000002</v>
      </c>
    </row>
    <row r="178" spans="1:9" x14ac:dyDescent="0.5">
      <c r="A178" s="27"/>
      <c r="B178" s="18"/>
      <c r="C178" s="178">
        <f t="shared" si="9"/>
        <v>98100</v>
      </c>
      <c r="D178" s="179"/>
      <c r="E178" s="18" t="s">
        <v>233</v>
      </c>
      <c r="F178" s="30"/>
      <c r="G178" s="166"/>
      <c r="H178" s="167"/>
    </row>
    <row r="179" spans="1:9" x14ac:dyDescent="0.5">
      <c r="A179" s="27"/>
      <c r="B179" s="18"/>
      <c r="C179" s="178">
        <f t="shared" si="9"/>
        <v>4905</v>
      </c>
      <c r="D179" s="179"/>
      <c r="E179" s="18" t="s">
        <v>234</v>
      </c>
      <c r="F179" s="30"/>
      <c r="G179" s="166"/>
      <c r="H179" s="167"/>
    </row>
    <row r="180" spans="1:9" x14ac:dyDescent="0.5">
      <c r="A180" s="27"/>
      <c r="B180" s="18"/>
      <c r="C180" s="178">
        <f t="shared" si="9"/>
        <v>6000</v>
      </c>
      <c r="D180" s="179"/>
      <c r="E180" s="18" t="s">
        <v>235</v>
      </c>
      <c r="F180" s="30"/>
      <c r="G180" s="166"/>
      <c r="H180" s="167"/>
    </row>
    <row r="181" spans="1:9" x14ac:dyDescent="0.5">
      <c r="A181" s="27"/>
      <c r="B181" s="18"/>
      <c r="C181" s="178">
        <f t="shared" si="9"/>
        <v>1223205</v>
      </c>
      <c r="D181" s="179"/>
      <c r="E181" s="18" t="s">
        <v>244</v>
      </c>
      <c r="F181" s="30"/>
      <c r="G181" s="166"/>
      <c r="H181" s="167"/>
    </row>
    <row r="182" spans="1:9" x14ac:dyDescent="0.5">
      <c r="A182" s="27"/>
      <c r="B182" s="18"/>
      <c r="C182" s="178">
        <f t="shared" si="9"/>
        <v>46750</v>
      </c>
      <c r="D182" s="179"/>
      <c r="E182" s="18" t="s">
        <v>231</v>
      </c>
      <c r="F182" s="30"/>
      <c r="G182" s="166"/>
      <c r="H182" s="167"/>
    </row>
    <row r="183" spans="1:9" x14ac:dyDescent="0.5">
      <c r="A183" s="27"/>
      <c r="B183" s="18"/>
      <c r="C183" s="178">
        <f t="shared" ref="C183:C185" si="10">C134</f>
        <v>548210</v>
      </c>
      <c r="D183" s="179"/>
      <c r="E183" s="18" t="s">
        <v>228</v>
      </c>
      <c r="F183" s="30"/>
      <c r="G183" s="168"/>
      <c r="H183" s="169"/>
    </row>
    <row r="184" spans="1:9" x14ac:dyDescent="0.5">
      <c r="A184" s="27"/>
      <c r="B184" s="18"/>
      <c r="C184" s="178">
        <f t="shared" si="10"/>
        <v>10800</v>
      </c>
      <c r="D184" s="179"/>
      <c r="E184" s="18" t="s">
        <v>229</v>
      </c>
      <c r="F184" s="30"/>
      <c r="G184" s="166"/>
      <c r="H184" s="167"/>
    </row>
    <row r="185" spans="1:9" x14ac:dyDescent="0.5">
      <c r="A185" s="27"/>
      <c r="B185" s="18"/>
      <c r="C185" s="178">
        <f t="shared" si="10"/>
        <v>57300</v>
      </c>
      <c r="D185" s="179"/>
      <c r="E185" s="18" t="s">
        <v>230</v>
      </c>
      <c r="F185" s="30"/>
      <c r="G185" s="168"/>
      <c r="H185" s="169"/>
    </row>
    <row r="186" spans="1:9" x14ac:dyDescent="0.5">
      <c r="A186" s="27"/>
      <c r="B186" s="18"/>
      <c r="C186" s="178">
        <f>G186</f>
        <v>40000</v>
      </c>
      <c r="D186" s="179"/>
      <c r="E186" s="18" t="s">
        <v>250</v>
      </c>
      <c r="F186" s="30"/>
      <c r="G186" s="168">
        <v>40000</v>
      </c>
      <c r="H186" s="169"/>
    </row>
    <row r="187" spans="1:9" x14ac:dyDescent="0.5">
      <c r="A187" s="27"/>
      <c r="B187" s="18"/>
      <c r="C187" s="168">
        <f>G187</f>
        <v>2480000</v>
      </c>
      <c r="D187" s="169"/>
      <c r="E187" s="18" t="s">
        <v>251</v>
      </c>
      <c r="F187" s="30"/>
      <c r="G187" s="168">
        <v>2480000</v>
      </c>
      <c r="H187" s="169"/>
    </row>
    <row r="188" spans="1:9" x14ac:dyDescent="0.5">
      <c r="A188" s="27"/>
      <c r="B188" s="18"/>
      <c r="C188" s="166">
        <f>G188</f>
        <v>1422222.22</v>
      </c>
      <c r="D188" s="167"/>
      <c r="E188" s="18" t="s">
        <v>252</v>
      </c>
      <c r="F188" s="30"/>
      <c r="G188" s="166">
        <v>1422222.22</v>
      </c>
      <c r="H188" s="167"/>
    </row>
    <row r="189" spans="1:9" x14ac:dyDescent="0.5">
      <c r="A189" s="27"/>
      <c r="B189" s="18"/>
      <c r="C189" s="178">
        <f t="shared" ref="C189:C203" si="11">C137+G189</f>
        <v>3787584.67</v>
      </c>
      <c r="D189" s="179"/>
      <c r="E189" s="18" t="s">
        <v>32</v>
      </c>
      <c r="F189" s="30" t="s">
        <v>73</v>
      </c>
      <c r="G189" s="168">
        <f>'รายละเอียด(หมายเหตุ2)'!D131</f>
        <v>1459674.0099999998</v>
      </c>
      <c r="H189" s="169"/>
    </row>
    <row r="190" spans="1:9" x14ac:dyDescent="0.5">
      <c r="A190" s="27"/>
      <c r="B190" s="18"/>
      <c r="C190" s="178">
        <f t="shared" si="11"/>
        <v>487184</v>
      </c>
      <c r="D190" s="179"/>
      <c r="E190" s="18" t="s">
        <v>33</v>
      </c>
      <c r="F190" s="30" t="s">
        <v>60</v>
      </c>
      <c r="G190" s="168"/>
      <c r="H190" s="169"/>
    </row>
    <row r="191" spans="1:9" x14ac:dyDescent="0.5">
      <c r="A191" s="27"/>
      <c r="B191" s="18"/>
      <c r="C191" s="178">
        <f t="shared" si="11"/>
        <v>3142620</v>
      </c>
      <c r="D191" s="179"/>
      <c r="E191" s="18" t="s">
        <v>55</v>
      </c>
      <c r="F191" s="30" t="s">
        <v>59</v>
      </c>
      <c r="G191" s="166"/>
      <c r="H191" s="167"/>
    </row>
    <row r="192" spans="1:9" x14ac:dyDescent="0.5">
      <c r="A192" s="27"/>
      <c r="B192" s="18"/>
      <c r="C192" s="178">
        <f t="shared" si="11"/>
        <v>7000</v>
      </c>
      <c r="D192" s="179"/>
      <c r="E192" s="18" t="s">
        <v>136</v>
      </c>
      <c r="F192" s="30" t="s">
        <v>140</v>
      </c>
      <c r="G192" s="168">
        <v>1750</v>
      </c>
      <c r="H192" s="169"/>
    </row>
    <row r="193" spans="1:8" x14ac:dyDescent="0.5">
      <c r="A193" s="27"/>
      <c r="B193" s="18"/>
      <c r="C193" s="178">
        <f t="shared" si="11"/>
        <v>316213</v>
      </c>
      <c r="D193" s="179"/>
      <c r="E193" s="18" t="s">
        <v>101</v>
      </c>
      <c r="F193" s="30" t="s">
        <v>141</v>
      </c>
      <c r="G193" s="168">
        <v>3</v>
      </c>
      <c r="H193" s="169"/>
    </row>
    <row r="194" spans="1:8" x14ac:dyDescent="0.5">
      <c r="A194" s="27"/>
      <c r="B194" s="18"/>
      <c r="C194" s="178">
        <f t="shared" si="11"/>
        <v>9936.0499999999975</v>
      </c>
      <c r="D194" s="179"/>
      <c r="E194" s="18" t="s">
        <v>137</v>
      </c>
      <c r="F194" s="30" t="s">
        <v>142</v>
      </c>
      <c r="G194" s="168">
        <v>341.05</v>
      </c>
      <c r="H194" s="169"/>
    </row>
    <row r="195" spans="1:8" x14ac:dyDescent="0.5">
      <c r="A195" s="27"/>
      <c r="B195" s="18"/>
      <c r="C195" s="178">
        <f t="shared" si="11"/>
        <v>8240</v>
      </c>
      <c r="D195" s="179"/>
      <c r="E195" s="18" t="s">
        <v>124</v>
      </c>
      <c r="F195" s="30" t="s">
        <v>143</v>
      </c>
      <c r="G195" s="168"/>
      <c r="H195" s="169"/>
    </row>
    <row r="196" spans="1:8" x14ac:dyDescent="0.5">
      <c r="A196" s="27"/>
      <c r="B196" s="18"/>
      <c r="C196" s="178">
        <f t="shared" si="11"/>
        <v>0</v>
      </c>
      <c r="D196" s="179"/>
      <c r="E196" s="18" t="s">
        <v>114</v>
      </c>
      <c r="F196" s="30" t="s">
        <v>139</v>
      </c>
      <c r="G196" s="168"/>
      <c r="H196" s="169"/>
    </row>
    <row r="197" spans="1:8" x14ac:dyDescent="0.5">
      <c r="A197" s="27"/>
      <c r="B197" s="18"/>
      <c r="C197" s="178">
        <f t="shared" si="11"/>
        <v>1200</v>
      </c>
      <c r="D197" s="179"/>
      <c r="E197" s="18" t="s">
        <v>253</v>
      </c>
      <c r="F197" s="30" t="s">
        <v>67</v>
      </c>
      <c r="G197" s="168">
        <v>1200</v>
      </c>
      <c r="H197" s="169"/>
    </row>
    <row r="198" spans="1:8" x14ac:dyDescent="0.5">
      <c r="A198" s="27"/>
      <c r="B198" s="18"/>
      <c r="C198" s="178">
        <f t="shared" si="11"/>
        <v>59</v>
      </c>
      <c r="D198" s="179"/>
      <c r="E198" s="18" t="s">
        <v>210</v>
      </c>
      <c r="F198" s="30" t="s">
        <v>176</v>
      </c>
      <c r="G198" s="168"/>
      <c r="H198" s="169"/>
    </row>
    <row r="199" spans="1:8" x14ac:dyDescent="0.5">
      <c r="A199" s="27"/>
      <c r="B199" s="18"/>
      <c r="C199" s="178">
        <f t="shared" si="11"/>
        <v>0</v>
      </c>
      <c r="D199" s="179"/>
      <c r="E199" s="18" t="s">
        <v>15</v>
      </c>
      <c r="F199" s="30" t="s">
        <v>72</v>
      </c>
      <c r="G199" s="168"/>
      <c r="H199" s="169"/>
    </row>
    <row r="200" spans="1:8" x14ac:dyDescent="0.5">
      <c r="A200" s="27"/>
      <c r="B200" s="18"/>
      <c r="C200" s="178">
        <f t="shared" si="11"/>
        <v>2900</v>
      </c>
      <c r="D200" s="179"/>
      <c r="E200" s="18" t="s">
        <v>254</v>
      </c>
      <c r="F200" s="30" t="s">
        <v>184</v>
      </c>
      <c r="G200" s="168">
        <v>2900</v>
      </c>
      <c r="H200" s="169"/>
    </row>
    <row r="201" spans="1:8" x14ac:dyDescent="0.5">
      <c r="A201" s="27"/>
      <c r="B201" s="18"/>
      <c r="C201" s="178">
        <f t="shared" si="11"/>
        <v>0</v>
      </c>
      <c r="D201" s="179"/>
      <c r="E201" s="18" t="s">
        <v>91</v>
      </c>
      <c r="F201" s="30" t="s">
        <v>92</v>
      </c>
      <c r="G201" s="168"/>
      <c r="H201" s="169"/>
    </row>
    <row r="202" spans="1:8" x14ac:dyDescent="0.5">
      <c r="A202" s="27"/>
      <c r="B202" s="18"/>
      <c r="C202" s="178">
        <f t="shared" si="11"/>
        <v>0</v>
      </c>
      <c r="D202" s="179"/>
      <c r="E202" s="18" t="s">
        <v>110</v>
      </c>
      <c r="F202" s="30" t="s">
        <v>211</v>
      </c>
      <c r="G202" s="168"/>
      <c r="H202" s="169"/>
    </row>
    <row r="203" spans="1:8" x14ac:dyDescent="0.5">
      <c r="A203" s="27"/>
      <c r="B203" s="18"/>
      <c r="C203" s="178">
        <f t="shared" si="11"/>
        <v>0</v>
      </c>
      <c r="D203" s="179"/>
      <c r="E203" s="18" t="s">
        <v>113</v>
      </c>
      <c r="F203" s="30"/>
      <c r="G203" s="168"/>
      <c r="H203" s="169"/>
    </row>
    <row r="204" spans="1:8" x14ac:dyDescent="0.5">
      <c r="A204" s="27"/>
      <c r="B204" s="18"/>
      <c r="C204" s="170">
        <f>SUM(C173:C203)</f>
        <v>21049328.940000001</v>
      </c>
      <c r="D204" s="171"/>
      <c r="E204" s="18"/>
      <c r="F204" s="30"/>
      <c r="G204" s="172">
        <f>SUM(G174:G203)</f>
        <v>6654690.2799999993</v>
      </c>
      <c r="H204" s="173"/>
    </row>
    <row r="205" spans="1:8" ht="24" thickBot="1" x14ac:dyDescent="0.55000000000000004">
      <c r="A205" s="27"/>
      <c r="C205" s="174">
        <f>C172+C204</f>
        <v>64000292.359999999</v>
      </c>
      <c r="D205" s="175"/>
      <c r="E205" s="123" t="s">
        <v>34</v>
      </c>
      <c r="F205" s="26"/>
      <c r="G205" s="174">
        <f>G172+G204</f>
        <v>16295781.799999999</v>
      </c>
      <c r="H205" s="175"/>
    </row>
    <row r="206" spans="1:8" ht="24" thickTop="1" x14ac:dyDescent="0.5">
      <c r="A206" s="182" t="s">
        <v>94</v>
      </c>
      <c r="B206" s="182"/>
      <c r="C206" s="182"/>
      <c r="D206" s="182"/>
      <c r="E206" s="182"/>
      <c r="F206" s="182"/>
      <c r="G206" s="182"/>
      <c r="H206" s="182"/>
    </row>
    <row r="207" spans="1:8" x14ac:dyDescent="0.5">
      <c r="A207" s="182" t="s">
        <v>146</v>
      </c>
      <c r="B207" s="182"/>
      <c r="C207" s="182"/>
      <c r="D207" s="182"/>
      <c r="E207" s="182"/>
      <c r="F207" s="182"/>
      <c r="G207" s="182"/>
      <c r="H207" s="182"/>
    </row>
    <row r="208" spans="1:8" x14ac:dyDescent="0.5">
      <c r="A208" s="14"/>
      <c r="B208" s="1"/>
      <c r="C208" s="1"/>
      <c r="D208" s="1"/>
      <c r="E208" s="1"/>
      <c r="F208" s="183" t="s">
        <v>220</v>
      </c>
      <c r="G208" s="183"/>
      <c r="H208" s="183"/>
    </row>
    <row r="209" spans="1:8" x14ac:dyDescent="0.5">
      <c r="A209" s="182" t="s">
        <v>17</v>
      </c>
      <c r="B209" s="182"/>
      <c r="C209" s="182"/>
      <c r="D209" s="182"/>
      <c r="E209" s="182"/>
      <c r="F209" s="182"/>
      <c r="G209" s="182"/>
      <c r="H209" s="182"/>
    </row>
    <row r="210" spans="1:8" ht="24" thickBot="1" x14ac:dyDescent="0.55000000000000004">
      <c r="A210" s="56"/>
      <c r="B210" s="23"/>
      <c r="C210" s="23"/>
      <c r="D210" s="23"/>
      <c r="E210" s="23"/>
      <c r="F210" s="184" t="s">
        <v>270</v>
      </c>
      <c r="G210" s="184"/>
      <c r="H210" s="184"/>
    </row>
    <row r="211" spans="1:8" ht="24" thickTop="1" x14ac:dyDescent="0.5">
      <c r="A211" s="185" t="s">
        <v>18</v>
      </c>
      <c r="B211" s="185"/>
      <c r="C211" s="185"/>
      <c r="D211" s="185"/>
      <c r="E211" s="21"/>
      <c r="F211" s="185" t="s">
        <v>19</v>
      </c>
      <c r="G211" s="185"/>
      <c r="H211" s="185"/>
    </row>
    <row r="212" spans="1:8" x14ac:dyDescent="0.5">
      <c r="A212" s="186" t="s">
        <v>20</v>
      </c>
      <c r="B212" s="187"/>
      <c r="C212" s="188" t="s">
        <v>22</v>
      </c>
      <c r="D212" s="188"/>
      <c r="E212" s="189" t="s">
        <v>0</v>
      </c>
      <c r="F212" s="133" t="s">
        <v>23</v>
      </c>
      <c r="G212" s="186" t="s">
        <v>22</v>
      </c>
      <c r="H212" s="187"/>
    </row>
    <row r="213" spans="1:8" ht="24" thickBot="1" x14ac:dyDescent="0.55000000000000004">
      <c r="A213" s="191" t="s">
        <v>21</v>
      </c>
      <c r="B213" s="192"/>
      <c r="C213" s="193" t="s">
        <v>21</v>
      </c>
      <c r="D213" s="193"/>
      <c r="E213" s="190"/>
      <c r="F213" s="134" t="s">
        <v>24</v>
      </c>
      <c r="G213" s="191" t="s">
        <v>21</v>
      </c>
      <c r="H213" s="192"/>
    </row>
    <row r="214" spans="1:8" ht="24" thickTop="1" x14ac:dyDescent="0.5">
      <c r="A214" s="13"/>
      <c r="B214" s="21"/>
      <c r="C214" s="180">
        <f>C162</f>
        <v>74345996.209999993</v>
      </c>
      <c r="D214" s="181"/>
      <c r="E214" s="8" t="s">
        <v>25</v>
      </c>
      <c r="F214" s="24"/>
      <c r="G214" s="180">
        <f>'ใบต่อ  55'!G218:H218</f>
        <v>92177581.269999981</v>
      </c>
      <c r="H214" s="181"/>
    </row>
    <row r="215" spans="1:8" x14ac:dyDescent="0.5">
      <c r="A215" s="5"/>
      <c r="B215" s="4"/>
      <c r="C215" s="178"/>
      <c r="D215" s="179"/>
      <c r="E215" s="8" t="s">
        <v>42</v>
      </c>
      <c r="F215" s="25" t="s">
        <v>70</v>
      </c>
      <c r="G215" s="178"/>
      <c r="H215" s="179"/>
    </row>
    <row r="216" spans="1:8" x14ac:dyDescent="0.5">
      <c r="A216" s="5">
        <v>5670000</v>
      </c>
      <c r="B216" s="3" t="s">
        <v>16</v>
      </c>
      <c r="C216" s="178">
        <f>C164+G216</f>
        <v>1360694.45</v>
      </c>
      <c r="D216" s="179"/>
      <c r="E216" s="8" t="s">
        <v>26</v>
      </c>
      <c r="F216" s="25" t="s">
        <v>76</v>
      </c>
      <c r="G216" s="178">
        <v>865110.12</v>
      </c>
      <c r="H216" s="179"/>
    </row>
    <row r="217" spans="1:8" x14ac:dyDescent="0.5">
      <c r="A217" s="5">
        <v>1198500</v>
      </c>
      <c r="B217" s="3" t="s">
        <v>16</v>
      </c>
      <c r="C217" s="178">
        <f t="shared" ref="C217:C224" si="12">C165+G217</f>
        <v>733752.45</v>
      </c>
      <c r="D217" s="179"/>
      <c r="E217" s="8" t="s">
        <v>27</v>
      </c>
      <c r="F217" s="25" t="s">
        <v>77</v>
      </c>
      <c r="G217" s="178">
        <v>155419.95000000001</v>
      </c>
      <c r="H217" s="179"/>
    </row>
    <row r="218" spans="1:8" x14ac:dyDescent="0.5">
      <c r="A218" s="5">
        <v>451000</v>
      </c>
      <c r="B218" s="3" t="s">
        <v>16</v>
      </c>
      <c r="C218" s="178">
        <f t="shared" si="12"/>
        <v>1260648.7</v>
      </c>
      <c r="D218" s="179"/>
      <c r="E218" s="8" t="s">
        <v>28</v>
      </c>
      <c r="F218" s="25" t="s">
        <v>78</v>
      </c>
      <c r="G218" s="178">
        <v>39500</v>
      </c>
      <c r="H218" s="179"/>
    </row>
    <row r="219" spans="1:8" x14ac:dyDescent="0.5">
      <c r="A219" s="5">
        <v>1000</v>
      </c>
      <c r="B219" s="3" t="s">
        <v>16</v>
      </c>
      <c r="C219" s="178">
        <f t="shared" si="12"/>
        <v>0</v>
      </c>
      <c r="D219" s="179"/>
      <c r="E219" s="8" t="s">
        <v>29</v>
      </c>
      <c r="F219" s="25" t="s">
        <v>80</v>
      </c>
      <c r="G219" s="178"/>
      <c r="H219" s="179"/>
    </row>
    <row r="220" spans="1:8" x14ac:dyDescent="0.5">
      <c r="A220" s="5">
        <v>184500</v>
      </c>
      <c r="B220" s="3" t="s">
        <v>16</v>
      </c>
      <c r="C220" s="178">
        <f t="shared" si="12"/>
        <v>376056</v>
      </c>
      <c r="D220" s="179"/>
      <c r="E220" s="8" t="s">
        <v>198</v>
      </c>
      <c r="F220" s="25" t="s">
        <v>79</v>
      </c>
      <c r="G220" s="178">
        <v>58900</v>
      </c>
      <c r="H220" s="179"/>
    </row>
    <row r="221" spans="1:8" x14ac:dyDescent="0.5">
      <c r="A221" s="2">
        <v>1000</v>
      </c>
      <c r="B221" s="3"/>
      <c r="C221" s="178">
        <f t="shared" si="12"/>
        <v>0</v>
      </c>
      <c r="D221" s="179"/>
      <c r="E221" s="8" t="s">
        <v>30</v>
      </c>
      <c r="F221" s="25" t="s">
        <v>81</v>
      </c>
      <c r="G221" s="178"/>
      <c r="H221" s="179"/>
    </row>
    <row r="222" spans="1:8" x14ac:dyDescent="0.5">
      <c r="A222" s="5">
        <v>59294000</v>
      </c>
      <c r="B222" s="3" t="s">
        <v>16</v>
      </c>
      <c r="C222" s="178">
        <f t="shared" si="12"/>
        <v>28292384.890000001</v>
      </c>
      <c r="D222" s="179"/>
      <c r="E222" s="8" t="s">
        <v>31</v>
      </c>
      <c r="F222" s="25" t="s">
        <v>82</v>
      </c>
      <c r="G222" s="178">
        <v>6838497</v>
      </c>
      <c r="H222" s="179"/>
    </row>
    <row r="223" spans="1:8" x14ac:dyDescent="0.5">
      <c r="A223" s="5">
        <v>29500000</v>
      </c>
      <c r="B223" s="3" t="s">
        <v>16</v>
      </c>
      <c r="C223" s="178">
        <f t="shared" si="12"/>
        <v>16438444</v>
      </c>
      <c r="D223" s="179"/>
      <c r="E223" s="8" t="s">
        <v>13</v>
      </c>
      <c r="F223" s="25" t="s">
        <v>83</v>
      </c>
      <c r="G223" s="168"/>
      <c r="H223" s="169"/>
    </row>
    <row r="224" spans="1:8" ht="24" thickBot="1" x14ac:dyDescent="0.55000000000000004">
      <c r="A224" s="61">
        <f>SUM(A216:A223)</f>
        <v>96300000</v>
      </c>
      <c r="B224" s="57" t="s">
        <v>16</v>
      </c>
      <c r="C224" s="194">
        <f t="shared" si="12"/>
        <v>50908390.490000002</v>
      </c>
      <c r="D224" s="195"/>
      <c r="F224" s="25"/>
      <c r="G224" s="174">
        <f>SUM(G216:G223)</f>
        <v>7957427.0700000003</v>
      </c>
      <c r="H224" s="175"/>
    </row>
    <row r="225" spans="1:9" ht="24" thickTop="1" x14ac:dyDescent="0.5">
      <c r="A225" s="27"/>
      <c r="B225" s="18"/>
      <c r="C225" s="196">
        <f t="shared" ref="C225" si="13">C176+G225</f>
        <v>0</v>
      </c>
      <c r="D225" s="197"/>
      <c r="E225" s="39" t="s">
        <v>226</v>
      </c>
      <c r="F225" s="30"/>
      <c r="G225" s="176">
        <v>0</v>
      </c>
      <c r="H225" s="177"/>
    </row>
    <row r="226" spans="1:9" x14ac:dyDescent="0.5">
      <c r="A226" s="27"/>
      <c r="B226" s="18"/>
      <c r="C226" s="178">
        <f>C174+G226</f>
        <v>6235100</v>
      </c>
      <c r="D226" s="179"/>
      <c r="E226" s="18" t="s">
        <v>236</v>
      </c>
      <c r="F226" s="30"/>
      <c r="G226" s="166"/>
      <c r="H226" s="167"/>
    </row>
    <row r="227" spans="1:9" x14ac:dyDescent="0.5">
      <c r="A227" s="27"/>
      <c r="B227" s="18"/>
      <c r="C227" s="178">
        <f t="shared" ref="C227:C255" si="14">C175+G227</f>
        <v>1056500</v>
      </c>
      <c r="D227" s="179"/>
      <c r="E227" s="18" t="s">
        <v>237</v>
      </c>
      <c r="F227" s="30"/>
      <c r="G227" s="166">
        <v>0</v>
      </c>
      <c r="H227" s="167"/>
    </row>
    <row r="228" spans="1:9" x14ac:dyDescent="0.5">
      <c r="A228" s="27"/>
      <c r="B228" s="18"/>
      <c r="C228" s="178">
        <f t="shared" si="14"/>
        <v>0</v>
      </c>
      <c r="D228" s="179"/>
      <c r="E228" s="39" t="s">
        <v>227</v>
      </c>
      <c r="F228" s="30"/>
      <c r="G228" s="168"/>
      <c r="H228" s="169"/>
    </row>
    <row r="229" spans="1:9" x14ac:dyDescent="0.5">
      <c r="A229" s="27"/>
      <c r="B229" s="18"/>
      <c r="C229" s="178">
        <f t="shared" si="14"/>
        <v>114600</v>
      </c>
      <c r="D229" s="179"/>
      <c r="E229" s="18" t="s">
        <v>232</v>
      </c>
      <c r="F229" s="30"/>
      <c r="G229" s="166">
        <v>57300</v>
      </c>
      <c r="H229" s="167"/>
      <c r="I229" s="15">
        <f>C224+C226+C227+C229+C230+C231+C232+C233+C234+C235+C236+C237</f>
        <v>60344195.490000002</v>
      </c>
    </row>
    <row r="230" spans="1:9" x14ac:dyDescent="0.5">
      <c r="A230" s="27"/>
      <c r="B230" s="18"/>
      <c r="C230" s="178">
        <f t="shared" si="14"/>
        <v>130800</v>
      </c>
      <c r="D230" s="179"/>
      <c r="E230" s="18" t="s">
        <v>233</v>
      </c>
      <c r="F230" s="30"/>
      <c r="G230" s="166">
        <f>28200+4500</f>
        <v>32700</v>
      </c>
      <c r="H230" s="167"/>
    </row>
    <row r="231" spans="1:9" x14ac:dyDescent="0.5">
      <c r="A231" s="27"/>
      <c r="B231" s="18"/>
      <c r="C231" s="178">
        <f t="shared" si="14"/>
        <v>6540</v>
      </c>
      <c r="D231" s="179"/>
      <c r="E231" s="18" t="s">
        <v>234</v>
      </c>
      <c r="F231" s="30"/>
      <c r="G231" s="166">
        <v>1635</v>
      </c>
      <c r="H231" s="167"/>
    </row>
    <row r="232" spans="1:9" x14ac:dyDescent="0.5">
      <c r="A232" s="27"/>
      <c r="B232" s="18"/>
      <c r="C232" s="178">
        <f t="shared" si="14"/>
        <v>6000</v>
      </c>
      <c r="D232" s="179"/>
      <c r="E232" s="18" t="s">
        <v>235</v>
      </c>
      <c r="F232" s="30"/>
      <c r="G232" s="166"/>
      <c r="H232" s="167"/>
    </row>
    <row r="233" spans="1:9" x14ac:dyDescent="0.5">
      <c r="A233" s="27"/>
      <c r="B233" s="18"/>
      <c r="C233" s="178">
        <f t="shared" si="14"/>
        <v>1223205</v>
      </c>
      <c r="D233" s="179"/>
      <c r="E233" s="18" t="s">
        <v>244</v>
      </c>
      <c r="F233" s="30"/>
      <c r="G233" s="166"/>
      <c r="H233" s="167"/>
    </row>
    <row r="234" spans="1:9" x14ac:dyDescent="0.5">
      <c r="A234" s="27"/>
      <c r="B234" s="18"/>
      <c r="C234" s="178">
        <f t="shared" si="14"/>
        <v>46750</v>
      </c>
      <c r="D234" s="179"/>
      <c r="E234" s="18" t="s">
        <v>231</v>
      </c>
      <c r="F234" s="30"/>
      <c r="G234" s="166"/>
      <c r="H234" s="167"/>
    </row>
    <row r="235" spans="1:9" x14ac:dyDescent="0.5">
      <c r="A235" s="27"/>
      <c r="B235" s="18"/>
      <c r="C235" s="178">
        <f t="shared" si="14"/>
        <v>548210</v>
      </c>
      <c r="D235" s="179"/>
      <c r="E235" s="18" t="s">
        <v>228</v>
      </c>
      <c r="F235" s="30"/>
      <c r="G235" s="168"/>
      <c r="H235" s="169"/>
    </row>
    <row r="236" spans="1:9" x14ac:dyDescent="0.5">
      <c r="A236" s="27"/>
      <c r="B236" s="18"/>
      <c r="C236" s="178">
        <f t="shared" si="14"/>
        <v>10800</v>
      </c>
      <c r="D236" s="179"/>
      <c r="E236" s="18" t="s">
        <v>229</v>
      </c>
      <c r="F236" s="30"/>
      <c r="G236" s="166"/>
      <c r="H236" s="167"/>
    </row>
    <row r="237" spans="1:9" x14ac:dyDescent="0.5">
      <c r="A237" s="27"/>
      <c r="B237" s="18"/>
      <c r="C237" s="178">
        <f t="shared" si="14"/>
        <v>57300</v>
      </c>
      <c r="D237" s="179"/>
      <c r="E237" s="18" t="s">
        <v>230</v>
      </c>
      <c r="F237" s="30"/>
      <c r="G237" s="168"/>
      <c r="H237" s="169"/>
    </row>
    <row r="238" spans="1:9" x14ac:dyDescent="0.5">
      <c r="A238" s="27"/>
      <c r="B238" s="18"/>
      <c r="C238" s="178">
        <f t="shared" si="14"/>
        <v>40000</v>
      </c>
      <c r="D238" s="179"/>
      <c r="E238" s="18" t="s">
        <v>250</v>
      </c>
      <c r="F238" s="30"/>
      <c r="G238" s="168"/>
      <c r="H238" s="169"/>
    </row>
    <row r="239" spans="1:9" x14ac:dyDescent="0.5">
      <c r="A239" s="27"/>
      <c r="B239" s="18"/>
      <c r="C239" s="178">
        <f t="shared" si="14"/>
        <v>2480000</v>
      </c>
      <c r="D239" s="179"/>
      <c r="E239" s="18" t="s">
        <v>251</v>
      </c>
      <c r="F239" s="30"/>
      <c r="G239" s="168"/>
      <c r="H239" s="169"/>
    </row>
    <row r="240" spans="1:9" x14ac:dyDescent="0.5">
      <c r="A240" s="27"/>
      <c r="B240" s="18"/>
      <c r="C240" s="178">
        <f t="shared" si="14"/>
        <v>1422222.22</v>
      </c>
      <c r="D240" s="179"/>
      <c r="E240" s="18" t="s">
        <v>252</v>
      </c>
      <c r="F240" s="30"/>
      <c r="G240" s="166"/>
      <c r="H240" s="167"/>
    </row>
    <row r="241" spans="1:8" x14ac:dyDescent="0.5">
      <c r="A241" s="27"/>
      <c r="B241" s="18"/>
      <c r="C241" s="178">
        <f t="shared" si="14"/>
        <v>4626133.6899999995</v>
      </c>
      <c r="D241" s="179"/>
      <c r="E241" s="18" t="s">
        <v>32</v>
      </c>
      <c r="F241" s="30" t="s">
        <v>73</v>
      </c>
      <c r="G241" s="168">
        <f>'รายละเอียด(หมายเหตุ2)'!D171</f>
        <v>838549.02</v>
      </c>
      <c r="H241" s="169"/>
    </row>
    <row r="242" spans="1:8" x14ac:dyDescent="0.5">
      <c r="A242" s="27"/>
      <c r="B242" s="18"/>
      <c r="C242" s="178">
        <f t="shared" si="14"/>
        <v>487184</v>
      </c>
      <c r="D242" s="179"/>
      <c r="E242" s="18" t="s">
        <v>33</v>
      </c>
      <c r="F242" s="30" t="s">
        <v>60</v>
      </c>
      <c r="G242" s="168"/>
      <c r="H242" s="169"/>
    </row>
    <row r="243" spans="1:8" x14ac:dyDescent="0.5">
      <c r="A243" s="27"/>
      <c r="B243" s="18"/>
      <c r="C243" s="178">
        <f t="shared" si="14"/>
        <v>3142620</v>
      </c>
      <c r="D243" s="179"/>
      <c r="E243" s="18" t="s">
        <v>55</v>
      </c>
      <c r="F243" s="30" t="s">
        <v>59</v>
      </c>
      <c r="G243" s="166"/>
      <c r="H243" s="167"/>
    </row>
    <row r="244" spans="1:8" x14ac:dyDescent="0.5">
      <c r="A244" s="27"/>
      <c r="B244" s="18"/>
      <c r="C244" s="178">
        <f t="shared" si="14"/>
        <v>8750</v>
      </c>
      <c r="D244" s="179"/>
      <c r="E244" s="18" t="s">
        <v>136</v>
      </c>
      <c r="F244" s="30" t="s">
        <v>140</v>
      </c>
      <c r="G244" s="168">
        <v>1750</v>
      </c>
      <c r="H244" s="169"/>
    </row>
    <row r="245" spans="1:8" x14ac:dyDescent="0.5">
      <c r="A245" s="27"/>
      <c r="B245" s="18"/>
      <c r="C245" s="178">
        <f t="shared" si="14"/>
        <v>322213</v>
      </c>
      <c r="D245" s="179"/>
      <c r="E245" s="18" t="s">
        <v>101</v>
      </c>
      <c r="F245" s="30" t="s">
        <v>141</v>
      </c>
      <c r="G245" s="168">
        <v>6000</v>
      </c>
      <c r="H245" s="169"/>
    </row>
    <row r="246" spans="1:8" x14ac:dyDescent="0.5">
      <c r="A246" s="27"/>
      <c r="B246" s="18"/>
      <c r="C246" s="178">
        <f t="shared" si="14"/>
        <v>11981.399999999998</v>
      </c>
      <c r="D246" s="179"/>
      <c r="E246" s="18" t="s">
        <v>137</v>
      </c>
      <c r="F246" s="30" t="s">
        <v>142</v>
      </c>
      <c r="G246" s="168">
        <v>2045.35</v>
      </c>
      <c r="H246" s="169"/>
    </row>
    <row r="247" spans="1:8" x14ac:dyDescent="0.5">
      <c r="A247" s="27"/>
      <c r="B247" s="18"/>
      <c r="C247" s="178">
        <f t="shared" si="14"/>
        <v>8840</v>
      </c>
      <c r="D247" s="179"/>
      <c r="E247" s="18" t="s">
        <v>124</v>
      </c>
      <c r="F247" s="30" t="s">
        <v>143</v>
      </c>
      <c r="G247" s="168">
        <v>600</v>
      </c>
      <c r="H247" s="169"/>
    </row>
    <row r="248" spans="1:8" x14ac:dyDescent="0.5">
      <c r="A248" s="27"/>
      <c r="B248" s="18"/>
      <c r="C248" s="178">
        <f t="shared" si="14"/>
        <v>0</v>
      </c>
      <c r="D248" s="179"/>
      <c r="E248" s="18" t="s">
        <v>114</v>
      </c>
      <c r="F248" s="30" t="s">
        <v>139</v>
      </c>
      <c r="G248" s="168"/>
      <c r="H248" s="169"/>
    </row>
    <row r="249" spans="1:8" x14ac:dyDescent="0.5">
      <c r="A249" s="27"/>
      <c r="B249" s="18"/>
      <c r="C249" s="178">
        <f t="shared" si="14"/>
        <v>1200</v>
      </c>
      <c r="D249" s="179"/>
      <c r="E249" s="18" t="s">
        <v>253</v>
      </c>
      <c r="F249" s="30" t="s">
        <v>67</v>
      </c>
      <c r="G249" s="168"/>
      <c r="H249" s="169"/>
    </row>
    <row r="250" spans="1:8" x14ac:dyDescent="0.5">
      <c r="A250" s="27"/>
      <c r="B250" s="18"/>
      <c r="C250" s="178">
        <f t="shared" si="14"/>
        <v>59</v>
      </c>
      <c r="D250" s="179"/>
      <c r="E250" s="18" t="s">
        <v>210</v>
      </c>
      <c r="F250" s="30" t="s">
        <v>176</v>
      </c>
      <c r="G250" s="168"/>
      <c r="H250" s="169"/>
    </row>
    <row r="251" spans="1:8" x14ac:dyDescent="0.5">
      <c r="A251" s="27"/>
      <c r="B251" s="18"/>
      <c r="C251" s="178">
        <f t="shared" si="14"/>
        <v>0</v>
      </c>
      <c r="D251" s="179"/>
      <c r="E251" s="18" t="s">
        <v>15</v>
      </c>
      <c r="F251" s="30" t="s">
        <v>72</v>
      </c>
      <c r="G251" s="168"/>
      <c r="H251" s="169"/>
    </row>
    <row r="252" spans="1:8" x14ac:dyDescent="0.5">
      <c r="A252" s="27"/>
      <c r="B252" s="18"/>
      <c r="C252" s="178">
        <f t="shared" si="14"/>
        <v>5000</v>
      </c>
      <c r="D252" s="179"/>
      <c r="E252" s="18" t="s">
        <v>278</v>
      </c>
      <c r="F252" s="30" t="s">
        <v>184</v>
      </c>
      <c r="G252" s="168">
        <f>1300+800</f>
        <v>2100</v>
      </c>
      <c r="H252" s="169"/>
    </row>
    <row r="253" spans="1:8" x14ac:dyDescent="0.5">
      <c r="A253" s="27"/>
      <c r="B253" s="18"/>
      <c r="C253" s="178">
        <f t="shared" si="14"/>
        <v>0</v>
      </c>
      <c r="D253" s="179"/>
      <c r="E253" s="18" t="s">
        <v>91</v>
      </c>
      <c r="F253" s="30" t="s">
        <v>92</v>
      </c>
      <c r="G253" s="168"/>
      <c r="H253" s="169"/>
    </row>
    <row r="254" spans="1:8" x14ac:dyDescent="0.5">
      <c r="A254" s="27"/>
      <c r="B254" s="18"/>
      <c r="C254" s="178">
        <f t="shared" si="14"/>
        <v>503000</v>
      </c>
      <c r="D254" s="179"/>
      <c r="E254" s="18" t="s">
        <v>13</v>
      </c>
      <c r="F254" s="30" t="s">
        <v>67</v>
      </c>
      <c r="G254" s="168">
        <v>503000</v>
      </c>
      <c r="H254" s="169"/>
    </row>
    <row r="255" spans="1:8" x14ac:dyDescent="0.5">
      <c r="A255" s="27"/>
      <c r="B255" s="18"/>
      <c r="C255" s="178">
        <f t="shared" si="14"/>
        <v>0</v>
      </c>
      <c r="D255" s="179"/>
      <c r="E255" s="18" t="s">
        <v>113</v>
      </c>
      <c r="F255" s="30"/>
      <c r="G255" s="168"/>
      <c r="H255" s="169"/>
    </row>
    <row r="256" spans="1:8" x14ac:dyDescent="0.5">
      <c r="A256" s="27"/>
      <c r="B256" s="18"/>
      <c r="C256" s="170">
        <f>SUM(C225:C255)</f>
        <v>22495008.309999999</v>
      </c>
      <c r="D256" s="171"/>
      <c r="E256" s="18"/>
      <c r="F256" s="30"/>
      <c r="G256" s="172">
        <f>SUM(G226:G255)</f>
        <v>1445679.37</v>
      </c>
      <c r="H256" s="173"/>
    </row>
    <row r="257" spans="1:8" ht="24" thickBot="1" x14ac:dyDescent="0.55000000000000004">
      <c r="A257" s="27"/>
      <c r="C257" s="174">
        <f>C224+C256</f>
        <v>73403398.799999997</v>
      </c>
      <c r="D257" s="175"/>
      <c r="E257" s="132" t="s">
        <v>34</v>
      </c>
      <c r="F257" s="26"/>
      <c r="G257" s="174">
        <f>G224+G256</f>
        <v>9403106.4400000013</v>
      </c>
      <c r="H257" s="175"/>
    </row>
    <row r="258" spans="1:8" ht="24" thickTop="1" x14ac:dyDescent="0.5"/>
  </sheetData>
  <mergeCells count="505">
    <mergeCell ref="C254:D254"/>
    <mergeCell ref="G254:H254"/>
    <mergeCell ref="C255:D255"/>
    <mergeCell ref="G255:H255"/>
    <mergeCell ref="C256:D256"/>
    <mergeCell ref="G256:H256"/>
    <mergeCell ref="C257:D257"/>
    <mergeCell ref="G257:H257"/>
    <mergeCell ref="C249:D249"/>
    <mergeCell ref="G249:H249"/>
    <mergeCell ref="C250:D250"/>
    <mergeCell ref="G250:H250"/>
    <mergeCell ref="C251:D251"/>
    <mergeCell ref="G251:H251"/>
    <mergeCell ref="C252:D252"/>
    <mergeCell ref="G252:H252"/>
    <mergeCell ref="C253:D253"/>
    <mergeCell ref="G253:H253"/>
    <mergeCell ref="C244:D244"/>
    <mergeCell ref="G244:H244"/>
    <mergeCell ref="C245:D245"/>
    <mergeCell ref="G245:H245"/>
    <mergeCell ref="C246:D246"/>
    <mergeCell ref="G246:H246"/>
    <mergeCell ref="C247:D247"/>
    <mergeCell ref="G247:H247"/>
    <mergeCell ref="C248:D248"/>
    <mergeCell ref="G248:H248"/>
    <mergeCell ref="C239:D239"/>
    <mergeCell ref="G239:H239"/>
    <mergeCell ref="C240:D240"/>
    <mergeCell ref="G240:H240"/>
    <mergeCell ref="C241:D241"/>
    <mergeCell ref="G241:H241"/>
    <mergeCell ref="C242:D242"/>
    <mergeCell ref="G242:H242"/>
    <mergeCell ref="C243:D243"/>
    <mergeCell ref="G243:H243"/>
    <mergeCell ref="C234:D234"/>
    <mergeCell ref="G234:H234"/>
    <mergeCell ref="C235:D235"/>
    <mergeCell ref="G235:H235"/>
    <mergeCell ref="C236:D236"/>
    <mergeCell ref="G236:H236"/>
    <mergeCell ref="C237:D237"/>
    <mergeCell ref="G237:H237"/>
    <mergeCell ref="C238:D238"/>
    <mergeCell ref="G238:H238"/>
    <mergeCell ref="C229:D229"/>
    <mergeCell ref="G229:H229"/>
    <mergeCell ref="C230:D230"/>
    <mergeCell ref="G230:H230"/>
    <mergeCell ref="C231:D231"/>
    <mergeCell ref="G231:H231"/>
    <mergeCell ref="C232:D232"/>
    <mergeCell ref="G232:H232"/>
    <mergeCell ref="C233:D233"/>
    <mergeCell ref="G233:H233"/>
    <mergeCell ref="C224:D224"/>
    <mergeCell ref="G224:H224"/>
    <mergeCell ref="C225:D225"/>
    <mergeCell ref="G225:H225"/>
    <mergeCell ref="C226:D226"/>
    <mergeCell ref="G226:H226"/>
    <mergeCell ref="C227:D227"/>
    <mergeCell ref="G227:H227"/>
    <mergeCell ref="C228:D228"/>
    <mergeCell ref="G228:H228"/>
    <mergeCell ref="C219:D219"/>
    <mergeCell ref="G219:H219"/>
    <mergeCell ref="C220:D220"/>
    <mergeCell ref="G220:H220"/>
    <mergeCell ref="C221:D221"/>
    <mergeCell ref="G221:H221"/>
    <mergeCell ref="C222:D222"/>
    <mergeCell ref="G222:H222"/>
    <mergeCell ref="C223:D223"/>
    <mergeCell ref="G223:H223"/>
    <mergeCell ref="C214:D214"/>
    <mergeCell ref="G214:H214"/>
    <mergeCell ref="C215:D215"/>
    <mergeCell ref="G215:H215"/>
    <mergeCell ref="C216:D216"/>
    <mergeCell ref="G216:H216"/>
    <mergeCell ref="C217:D217"/>
    <mergeCell ref="G217:H217"/>
    <mergeCell ref="C218:D218"/>
    <mergeCell ref="G218:H218"/>
    <mergeCell ref="A206:H206"/>
    <mergeCell ref="A207:H207"/>
    <mergeCell ref="F208:H208"/>
    <mergeCell ref="A209:H209"/>
    <mergeCell ref="F210:H210"/>
    <mergeCell ref="A211:D211"/>
    <mergeCell ref="F211:H211"/>
    <mergeCell ref="A212:B212"/>
    <mergeCell ref="C212:D212"/>
    <mergeCell ref="E212:E213"/>
    <mergeCell ref="G212:H212"/>
    <mergeCell ref="A213:B213"/>
    <mergeCell ref="C213:D213"/>
    <mergeCell ref="G213:H213"/>
    <mergeCell ref="C205:D205"/>
    <mergeCell ref="G205:H205"/>
    <mergeCell ref="C200:D200"/>
    <mergeCell ref="G200:H200"/>
    <mergeCell ref="C201:D201"/>
    <mergeCell ref="G201:H201"/>
    <mergeCell ref="C202:D202"/>
    <mergeCell ref="G202:H202"/>
    <mergeCell ref="C203:D203"/>
    <mergeCell ref="G203:H203"/>
    <mergeCell ref="C204:D204"/>
    <mergeCell ref="G204:H204"/>
    <mergeCell ref="C195:D195"/>
    <mergeCell ref="G195:H195"/>
    <mergeCell ref="C196:D196"/>
    <mergeCell ref="G196:H196"/>
    <mergeCell ref="C197:D197"/>
    <mergeCell ref="G197:H197"/>
    <mergeCell ref="C198:D198"/>
    <mergeCell ref="G198:H198"/>
    <mergeCell ref="C199:D199"/>
    <mergeCell ref="G199:H199"/>
    <mergeCell ref="C190:D190"/>
    <mergeCell ref="G190:H190"/>
    <mergeCell ref="C191:D191"/>
    <mergeCell ref="G191:H191"/>
    <mergeCell ref="C192:D192"/>
    <mergeCell ref="G192:H192"/>
    <mergeCell ref="C193:D193"/>
    <mergeCell ref="G193:H193"/>
    <mergeCell ref="C194:D194"/>
    <mergeCell ref="G194:H194"/>
    <mergeCell ref="C182:D182"/>
    <mergeCell ref="G182:H182"/>
    <mergeCell ref="C183:D183"/>
    <mergeCell ref="G183:H183"/>
    <mergeCell ref="C184:D184"/>
    <mergeCell ref="G184:H184"/>
    <mergeCell ref="C185:D185"/>
    <mergeCell ref="G185:H185"/>
    <mergeCell ref="C189:D189"/>
    <mergeCell ref="G189:H189"/>
    <mergeCell ref="C186:D186"/>
    <mergeCell ref="G186:H186"/>
    <mergeCell ref="G187:H187"/>
    <mergeCell ref="C187:D187"/>
    <mergeCell ref="C188:D188"/>
    <mergeCell ref="G188:H188"/>
    <mergeCell ref="C177:D177"/>
    <mergeCell ref="G177:H177"/>
    <mergeCell ref="C178:D178"/>
    <mergeCell ref="G178:H178"/>
    <mergeCell ref="C179:D179"/>
    <mergeCell ref="G179:H179"/>
    <mergeCell ref="C180:D180"/>
    <mergeCell ref="G180:H180"/>
    <mergeCell ref="C181:D181"/>
    <mergeCell ref="G181:H181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C167:D167"/>
    <mergeCell ref="G167:H167"/>
    <mergeCell ref="C168:D168"/>
    <mergeCell ref="G168:H168"/>
    <mergeCell ref="C169:D169"/>
    <mergeCell ref="G169:H169"/>
    <mergeCell ref="C170:D170"/>
    <mergeCell ref="G170:H170"/>
    <mergeCell ref="C171:D171"/>
    <mergeCell ref="G171:H17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A154:H154"/>
    <mergeCell ref="A155:H155"/>
    <mergeCell ref="F156:H156"/>
    <mergeCell ref="A157:H157"/>
    <mergeCell ref="F158:H158"/>
    <mergeCell ref="A159:D159"/>
    <mergeCell ref="F159:H159"/>
    <mergeCell ref="A160:B160"/>
    <mergeCell ref="C160:D160"/>
    <mergeCell ref="E160:E161"/>
    <mergeCell ref="G160:H160"/>
    <mergeCell ref="A161:B161"/>
    <mergeCell ref="C161:D161"/>
    <mergeCell ref="G161:H161"/>
    <mergeCell ref="C153:D153"/>
    <mergeCell ref="G153:H153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33:D133"/>
    <mergeCell ref="G133:H133"/>
    <mergeCell ref="C134:D134"/>
    <mergeCell ref="G134:H134"/>
    <mergeCell ref="C135:D135"/>
    <mergeCell ref="G135:H135"/>
    <mergeCell ref="C136:D136"/>
    <mergeCell ref="G136:H136"/>
    <mergeCell ref="C137:D137"/>
    <mergeCell ref="G137:H13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C132:D132"/>
    <mergeCell ref="G132:H13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A105:H105"/>
    <mergeCell ref="A106:H106"/>
    <mergeCell ref="F107:H107"/>
    <mergeCell ref="A108:H108"/>
    <mergeCell ref="F109:H109"/>
    <mergeCell ref="A110:D110"/>
    <mergeCell ref="F110:H110"/>
    <mergeCell ref="A111:B111"/>
    <mergeCell ref="C111:D111"/>
    <mergeCell ref="E111:E112"/>
    <mergeCell ref="G111:H111"/>
    <mergeCell ref="A112:B112"/>
    <mergeCell ref="C112:D112"/>
    <mergeCell ref="G112:H112"/>
    <mergeCell ref="C49:D49"/>
    <mergeCell ref="G49:H49"/>
    <mergeCell ref="C18:D18"/>
    <mergeCell ref="G18:H18"/>
    <mergeCell ref="C9:D9"/>
    <mergeCell ref="G9:H9"/>
    <mergeCell ref="C10:D10"/>
    <mergeCell ref="G10:H10"/>
    <mergeCell ref="C36:D36"/>
    <mergeCell ref="G36:H36"/>
    <mergeCell ref="C37:D37"/>
    <mergeCell ref="G37:H37"/>
    <mergeCell ref="C21:D21"/>
    <mergeCell ref="G21:H21"/>
    <mergeCell ref="C22:D22"/>
    <mergeCell ref="G22:H22"/>
    <mergeCell ref="C23:D23"/>
    <mergeCell ref="G23:H23"/>
    <mergeCell ref="C14:D14"/>
    <mergeCell ref="C11:D11"/>
    <mergeCell ref="G11:H11"/>
    <mergeCell ref="C12:D12"/>
    <mergeCell ref="C40:D40"/>
    <mergeCell ref="G40:H40"/>
    <mergeCell ref="C41:D41"/>
    <mergeCell ref="G41:H41"/>
    <mergeCell ref="C42:D42"/>
    <mergeCell ref="G42:H42"/>
    <mergeCell ref="G14:H14"/>
    <mergeCell ref="C15:D15"/>
    <mergeCell ref="G15:H15"/>
    <mergeCell ref="C16:D16"/>
    <mergeCell ref="G16:H16"/>
    <mergeCell ref="C17:D17"/>
    <mergeCell ref="C39:D39"/>
    <mergeCell ref="G39:H39"/>
    <mergeCell ref="C35:D35"/>
    <mergeCell ref="A1:H1"/>
    <mergeCell ref="A2:H2"/>
    <mergeCell ref="F3:H3"/>
    <mergeCell ref="A4:H4"/>
    <mergeCell ref="F5:H5"/>
    <mergeCell ref="A6:D6"/>
    <mergeCell ref="F6:H6"/>
    <mergeCell ref="A7:B7"/>
    <mergeCell ref="C7:D7"/>
    <mergeCell ref="E7:E8"/>
    <mergeCell ref="G7:H7"/>
    <mergeCell ref="A8:B8"/>
    <mergeCell ref="C8:D8"/>
    <mergeCell ref="G8:H8"/>
    <mergeCell ref="G12:H12"/>
    <mergeCell ref="C13:D13"/>
    <mergeCell ref="G32:H32"/>
    <mergeCell ref="C32:D32"/>
    <mergeCell ref="C33:D33"/>
    <mergeCell ref="C34:D34"/>
    <mergeCell ref="G34:H34"/>
    <mergeCell ref="G33:H33"/>
    <mergeCell ref="C38:D38"/>
    <mergeCell ref="G17:H17"/>
    <mergeCell ref="G13:H13"/>
    <mergeCell ref="I37:J37"/>
    <mergeCell ref="C19:D19"/>
    <mergeCell ref="G19:H19"/>
    <mergeCell ref="C20:D20"/>
    <mergeCell ref="G20:H20"/>
    <mergeCell ref="C24:D24"/>
    <mergeCell ref="G24:H24"/>
    <mergeCell ref="C25:D25"/>
    <mergeCell ref="G38:H38"/>
    <mergeCell ref="G25:H25"/>
    <mergeCell ref="C26:D26"/>
    <mergeCell ref="G31:H31"/>
    <mergeCell ref="C29:D29"/>
    <mergeCell ref="G29:H29"/>
    <mergeCell ref="C31:D31"/>
    <mergeCell ref="G35:H35"/>
    <mergeCell ref="C30:D30"/>
    <mergeCell ref="G30:H30"/>
    <mergeCell ref="G26:H26"/>
    <mergeCell ref="C27:D27"/>
    <mergeCell ref="G27:H27"/>
    <mergeCell ref="C28:D28"/>
    <mergeCell ref="G28:H28"/>
    <mergeCell ref="C55:D55"/>
    <mergeCell ref="G55:H55"/>
    <mergeCell ref="C43:D43"/>
    <mergeCell ref="G43:H43"/>
    <mergeCell ref="C45:D45"/>
    <mergeCell ref="G45:H45"/>
    <mergeCell ref="C46:D46"/>
    <mergeCell ref="G46:H46"/>
    <mergeCell ref="G44:H44"/>
    <mergeCell ref="C54:D54"/>
    <mergeCell ref="G54:H54"/>
    <mergeCell ref="G52:H52"/>
    <mergeCell ref="C52:D52"/>
    <mergeCell ref="G53:H53"/>
    <mergeCell ref="C53:D53"/>
    <mergeCell ref="C44:D44"/>
    <mergeCell ref="C50:D50"/>
    <mergeCell ref="G50:H50"/>
    <mergeCell ref="G51:H51"/>
    <mergeCell ref="C51:D51"/>
    <mergeCell ref="C48:D48"/>
    <mergeCell ref="G48:H48"/>
    <mergeCell ref="C47:D47"/>
    <mergeCell ref="G47:H47"/>
    <mergeCell ref="A56:H56"/>
    <mergeCell ref="A57:H57"/>
    <mergeCell ref="F58:H58"/>
    <mergeCell ref="A59:H59"/>
    <mergeCell ref="F60:H60"/>
    <mergeCell ref="A61:D61"/>
    <mergeCell ref="F61:H61"/>
    <mergeCell ref="A62:B62"/>
    <mergeCell ref="C62:D62"/>
    <mergeCell ref="E62:E63"/>
    <mergeCell ref="G62:H62"/>
    <mergeCell ref="A63:B63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9:D89"/>
    <mergeCell ref="C88:D88"/>
    <mergeCell ref="G88:H88"/>
    <mergeCell ref="G89:H89"/>
    <mergeCell ref="C90:D90"/>
    <mergeCell ref="G90:H90"/>
    <mergeCell ref="C91:D91"/>
    <mergeCell ref="G91:H91"/>
    <mergeCell ref="C84:D84"/>
    <mergeCell ref="G84:H84"/>
    <mergeCell ref="C85:D85"/>
    <mergeCell ref="G85:H85"/>
    <mergeCell ref="C86:D86"/>
    <mergeCell ref="G86:H86"/>
    <mergeCell ref="C87:D87"/>
    <mergeCell ref="G87:H87"/>
    <mergeCell ref="C98:D98"/>
    <mergeCell ref="G98:H98"/>
    <mergeCell ref="C99:D99"/>
    <mergeCell ref="G99:H99"/>
    <mergeCell ref="C96:D96"/>
    <mergeCell ref="G96:H96"/>
    <mergeCell ref="C97:D97"/>
    <mergeCell ref="G97:H97"/>
    <mergeCell ref="C92:D92"/>
    <mergeCell ref="G92:H92"/>
    <mergeCell ref="C93:D93"/>
    <mergeCell ref="G93:H93"/>
    <mergeCell ref="C94:D94"/>
    <mergeCell ref="G94:H94"/>
    <mergeCell ref="C95:D95"/>
    <mergeCell ref="G95:H95"/>
    <mergeCell ref="C100:D100"/>
    <mergeCell ref="G100:H100"/>
    <mergeCell ref="C101:D101"/>
    <mergeCell ref="G101:H101"/>
    <mergeCell ref="C102:D102"/>
    <mergeCell ref="G102:H102"/>
    <mergeCell ref="C103:D103"/>
    <mergeCell ref="G103:H103"/>
    <mergeCell ref="C104:D104"/>
    <mergeCell ref="G104:H104"/>
  </mergeCells>
  <phoneticPr fontId="0" type="noConversion"/>
  <pageMargins left="0.78740157480314965" right="0.19685039370078741" top="0.11811023622047245" bottom="0.11811023622047245" header="0.51181102362204722" footer="0.51181102362204722"/>
  <pageSetup paperSize="9" scale="68" orientation="portrait" r:id="rId1"/>
  <headerFooter alignWithMargins="0"/>
  <rowBreaks count="3" manualBreakCount="3">
    <brk id="55" max="16383" man="1"/>
    <brk id="104" max="16383" man="1"/>
    <brk id="153" max="10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view="pageBreakPreview" topLeftCell="A268" zoomScale="110" zoomScaleSheetLayoutView="110" workbookViewId="0">
      <selection activeCell="A224" sqref="A224:H278"/>
    </sheetView>
  </sheetViews>
  <sheetFormatPr defaultColWidth="8.796875" defaultRowHeight="20.25" customHeight="1" x14ac:dyDescent="0.5"/>
  <cols>
    <col min="1" max="1" width="21.796875" style="27" customWidth="1"/>
    <col min="2" max="2" width="5.19921875" style="18" customWidth="1"/>
    <col min="3" max="3" width="1.19921875" style="18" customWidth="1"/>
    <col min="4" max="4" width="20.796875" style="18" customWidth="1"/>
    <col min="5" max="5" width="62.59765625" style="18" customWidth="1"/>
    <col min="6" max="6" width="18.796875" style="18" customWidth="1"/>
    <col min="7" max="7" width="4" style="18" customWidth="1"/>
    <col min="8" max="8" width="25.3984375" style="18" customWidth="1"/>
    <col min="9" max="9" width="21.796875" style="18" customWidth="1"/>
    <col min="10" max="13" width="28.796875" style="27" customWidth="1"/>
    <col min="14" max="14" width="28.796875" style="18" customWidth="1"/>
    <col min="15" max="16384" width="8.796875" style="18"/>
  </cols>
  <sheetData>
    <row r="1" spans="1:10" ht="20.25" customHeight="1" thickBot="1" x14ac:dyDescent="0.55000000000000004">
      <c r="F1" s="22" t="s">
        <v>219</v>
      </c>
      <c r="G1" s="22"/>
    </row>
    <row r="2" spans="1:10" ht="20.25" customHeight="1" thickTop="1" x14ac:dyDescent="0.5">
      <c r="A2" s="207" t="s">
        <v>18</v>
      </c>
      <c r="B2" s="208"/>
      <c r="C2" s="208"/>
      <c r="D2" s="209"/>
      <c r="E2" s="67"/>
      <c r="F2" s="207" t="s">
        <v>19</v>
      </c>
      <c r="G2" s="208"/>
      <c r="H2" s="209"/>
    </row>
    <row r="3" spans="1:10" ht="20.25" customHeight="1" x14ac:dyDescent="0.5">
      <c r="A3" s="198" t="s">
        <v>20</v>
      </c>
      <c r="B3" s="199"/>
      <c r="C3" s="198" t="s">
        <v>22</v>
      </c>
      <c r="D3" s="199"/>
      <c r="E3" s="200" t="s">
        <v>0</v>
      </c>
      <c r="F3" s="68" t="s">
        <v>23</v>
      </c>
      <c r="G3" s="198" t="s">
        <v>22</v>
      </c>
      <c r="H3" s="199"/>
    </row>
    <row r="4" spans="1:10" ht="20.25" customHeight="1" thickBot="1" x14ac:dyDescent="0.55000000000000004">
      <c r="A4" s="202" t="s">
        <v>21</v>
      </c>
      <c r="B4" s="203"/>
      <c r="C4" s="202" t="s">
        <v>21</v>
      </c>
      <c r="D4" s="203"/>
      <c r="E4" s="201"/>
      <c r="F4" s="69" t="s">
        <v>24</v>
      </c>
      <c r="G4" s="202" t="s">
        <v>21</v>
      </c>
      <c r="H4" s="203"/>
    </row>
    <row r="5" spans="1:10" ht="20.25" customHeight="1" thickTop="1" x14ac:dyDescent="0.5">
      <c r="A5" s="28"/>
      <c r="B5" s="29"/>
      <c r="C5" s="176"/>
      <c r="D5" s="177"/>
      <c r="E5" s="22" t="s">
        <v>35</v>
      </c>
      <c r="F5" s="30"/>
      <c r="G5" s="176"/>
      <c r="H5" s="177"/>
    </row>
    <row r="6" spans="1:10" ht="20.25" customHeight="1" x14ac:dyDescent="0.5">
      <c r="A6" s="31">
        <v>16918800</v>
      </c>
      <c r="B6" s="32" t="s">
        <v>16</v>
      </c>
      <c r="C6" s="168">
        <f>G6</f>
        <v>0</v>
      </c>
      <c r="D6" s="169"/>
      <c r="E6" s="18" t="s">
        <v>12</v>
      </c>
      <c r="F6" s="30" t="s">
        <v>61</v>
      </c>
      <c r="G6" s="168"/>
      <c r="H6" s="169"/>
      <c r="I6" s="93" t="e">
        <f>C6-'งบรับจ่ายเงินสด  55'!C43:D43</f>
        <v>#VALUE!</v>
      </c>
    </row>
    <row r="7" spans="1:10" ht="20.25" customHeight="1" x14ac:dyDescent="0.5">
      <c r="A7" s="31">
        <f>10324292+5692248+1314600+1368240</f>
        <v>18699380</v>
      </c>
      <c r="B7" s="32" t="s">
        <v>16</v>
      </c>
      <c r="C7" s="168">
        <f t="shared" ref="C7:C16" si="0">G7</f>
        <v>939520</v>
      </c>
      <c r="D7" s="169"/>
      <c r="E7" s="18" t="s">
        <v>4</v>
      </c>
      <c r="F7" s="30" t="s">
        <v>84</v>
      </c>
      <c r="G7" s="168">
        <v>939520</v>
      </c>
      <c r="H7" s="169"/>
    </row>
    <row r="8" spans="1:10" ht="20.25" customHeight="1" x14ac:dyDescent="0.5">
      <c r="A8" s="31">
        <f>4879700+2204350+1699200+1231880</f>
        <v>10015130</v>
      </c>
      <c r="B8" s="32" t="s">
        <v>16</v>
      </c>
      <c r="C8" s="168">
        <f t="shared" si="0"/>
        <v>616045</v>
      </c>
      <c r="D8" s="169"/>
      <c r="E8" s="18" t="s">
        <v>5</v>
      </c>
      <c r="F8" s="30" t="s">
        <v>85</v>
      </c>
      <c r="G8" s="168">
        <v>616045</v>
      </c>
      <c r="H8" s="169"/>
    </row>
    <row r="9" spans="1:10" ht="20.25" customHeight="1" x14ac:dyDescent="0.5">
      <c r="A9" s="31">
        <f>1580000+480000+231900+30000+350000</f>
        <v>2671900</v>
      </c>
      <c r="B9" s="32" t="s">
        <v>16</v>
      </c>
      <c r="C9" s="168">
        <f t="shared" si="0"/>
        <v>9500</v>
      </c>
      <c r="D9" s="169"/>
      <c r="E9" s="18" t="s">
        <v>6</v>
      </c>
      <c r="F9" s="30" t="s">
        <v>63</v>
      </c>
      <c r="G9" s="168">
        <v>9500</v>
      </c>
      <c r="H9" s="169"/>
    </row>
    <row r="10" spans="1:10" ht="20.25" customHeight="1" x14ac:dyDescent="0.5">
      <c r="A10" s="31">
        <f>5939000+100000+4740800+830000+894000+6547000+1215000+670000</f>
        <v>20935800</v>
      </c>
      <c r="B10" s="32" t="s">
        <v>16</v>
      </c>
      <c r="C10" s="168">
        <f t="shared" si="0"/>
        <v>537760</v>
      </c>
      <c r="D10" s="169"/>
      <c r="E10" s="18" t="s">
        <v>7</v>
      </c>
      <c r="F10" s="30" t="s">
        <v>64</v>
      </c>
      <c r="G10" s="168">
        <v>537760</v>
      </c>
      <c r="H10" s="169"/>
      <c r="I10" s="65">
        <f>5407653.85-G10</f>
        <v>4869893.8499999996</v>
      </c>
      <c r="J10" s="27">
        <f>3024580.85+2164+3204+3266+2846+500+3455+187500+1000+5360+3900+3900+8976+7600+8172+3800+4086+6072+3580+16000+1200+3000+2226</f>
        <v>3306387.85</v>
      </c>
    </row>
    <row r="11" spans="1:10" ht="20.25" customHeight="1" x14ac:dyDescent="0.5">
      <c r="A11" s="31">
        <f>1205000+1508120+1280000+1550000</f>
        <v>5543120</v>
      </c>
      <c r="B11" s="32" t="s">
        <v>16</v>
      </c>
      <c r="C11" s="168">
        <f t="shared" si="0"/>
        <v>12000</v>
      </c>
      <c r="D11" s="169"/>
      <c r="E11" s="18" t="s">
        <v>8</v>
      </c>
      <c r="F11" s="30" t="s">
        <v>65</v>
      </c>
      <c r="G11" s="168">
        <v>12000</v>
      </c>
      <c r="H11" s="169"/>
      <c r="J11" s="27">
        <f>3024580.85</f>
        <v>3024580.85</v>
      </c>
    </row>
    <row r="12" spans="1:10" ht="20.25" customHeight="1" x14ac:dyDescent="0.5">
      <c r="A12" s="31">
        <f>530000+620000</f>
        <v>1150000</v>
      </c>
      <c r="B12" s="32" t="s">
        <v>16</v>
      </c>
      <c r="C12" s="168">
        <f t="shared" si="0"/>
        <v>123700.33</v>
      </c>
      <c r="D12" s="169"/>
      <c r="E12" s="18" t="s">
        <v>9</v>
      </c>
      <c r="F12" s="30" t="s">
        <v>66</v>
      </c>
      <c r="G12" s="168">
        <v>123700.33</v>
      </c>
      <c r="H12" s="169"/>
    </row>
    <row r="13" spans="1:10" ht="20.25" customHeight="1" x14ac:dyDescent="0.5">
      <c r="A13" s="31">
        <f>1600000+1000000</f>
        <v>2600000</v>
      </c>
      <c r="B13" s="32"/>
      <c r="C13" s="168">
        <f t="shared" si="0"/>
        <v>0</v>
      </c>
      <c r="D13" s="169"/>
      <c r="E13" s="18" t="s">
        <v>13</v>
      </c>
      <c r="F13" s="30" t="s">
        <v>67</v>
      </c>
      <c r="G13" s="168"/>
      <c r="H13" s="169"/>
    </row>
    <row r="14" spans="1:10" ht="20.25" customHeight="1" x14ac:dyDescent="0.5">
      <c r="A14" s="31">
        <f>1425900+187000+865500+2425000+10000+125000+2841000</f>
        <v>7879400</v>
      </c>
      <c r="B14" s="32" t="s">
        <v>16</v>
      </c>
      <c r="C14" s="168">
        <f t="shared" si="0"/>
        <v>0</v>
      </c>
      <c r="D14" s="169"/>
      <c r="E14" s="18" t="s">
        <v>10</v>
      </c>
      <c r="F14" s="30" t="s">
        <v>68</v>
      </c>
      <c r="G14" s="168"/>
      <c r="H14" s="169"/>
      <c r="J14" s="27">
        <f>J11+J10</f>
        <v>6330968.7000000002</v>
      </c>
    </row>
    <row r="15" spans="1:10" ht="20.25" customHeight="1" x14ac:dyDescent="0.5">
      <c r="A15" s="7">
        <f>100000+100000+1627000+100000+7459470+500000</f>
        <v>9886470</v>
      </c>
      <c r="B15" s="32"/>
      <c r="C15" s="168">
        <f t="shared" si="0"/>
        <v>0</v>
      </c>
      <c r="D15" s="169"/>
      <c r="E15" s="18" t="s">
        <v>95</v>
      </c>
      <c r="F15" s="30" t="s">
        <v>69</v>
      </c>
      <c r="G15" s="168"/>
      <c r="H15" s="169"/>
      <c r="I15" s="87">
        <f>G15</f>
        <v>0</v>
      </c>
    </row>
    <row r="16" spans="1:10" ht="20.25" customHeight="1" x14ac:dyDescent="0.5">
      <c r="A16" s="7"/>
      <c r="B16" s="32"/>
      <c r="C16" s="168">
        <f t="shared" si="0"/>
        <v>0</v>
      </c>
      <c r="D16" s="169"/>
      <c r="E16" s="18" t="s">
        <v>96</v>
      </c>
      <c r="F16" s="33" t="s">
        <v>93</v>
      </c>
      <c r="G16" s="168"/>
      <c r="H16" s="169"/>
    </row>
    <row r="17" spans="1:10" ht="20.25" customHeight="1" thickBot="1" x14ac:dyDescent="0.55000000000000004">
      <c r="A17" s="70">
        <f>SUM(A6:A16)</f>
        <v>96300000</v>
      </c>
      <c r="B17" s="71" t="s">
        <v>16</v>
      </c>
      <c r="C17" s="205">
        <f>SUM(C6:C16)</f>
        <v>2238525.33</v>
      </c>
      <c r="D17" s="206"/>
      <c r="E17" s="72"/>
      <c r="F17" s="30"/>
      <c r="G17" s="205">
        <f>SUM(G6:G16)</f>
        <v>2238525.33</v>
      </c>
      <c r="H17" s="206"/>
    </row>
    <row r="18" spans="1:10" ht="20.25" customHeight="1" thickTop="1" x14ac:dyDescent="0.5">
      <c r="C18" s="176"/>
      <c r="D18" s="177"/>
      <c r="E18" s="62" t="s">
        <v>133</v>
      </c>
      <c r="F18" s="30"/>
      <c r="G18" s="176">
        <v>0</v>
      </c>
      <c r="H18" s="177"/>
    </row>
    <row r="19" spans="1:10" ht="20.25" customHeight="1" x14ac:dyDescent="0.5">
      <c r="C19" s="166">
        <f>G19</f>
        <v>0</v>
      </c>
      <c r="D19" s="167"/>
      <c r="E19" s="34" t="s">
        <v>135</v>
      </c>
      <c r="F19" s="30" t="s">
        <v>169</v>
      </c>
      <c r="G19" s="166"/>
      <c r="H19" s="167"/>
    </row>
    <row r="20" spans="1:10" ht="20.25" customHeight="1" x14ac:dyDescent="0.5">
      <c r="C20" s="168"/>
      <c r="D20" s="169"/>
      <c r="E20" s="39" t="s">
        <v>134</v>
      </c>
      <c r="F20" s="30"/>
      <c r="G20" s="168"/>
      <c r="H20" s="169"/>
    </row>
    <row r="21" spans="1:10" ht="20.25" customHeight="1" x14ac:dyDescent="0.5">
      <c r="C21" s="166">
        <f>G21</f>
        <v>0</v>
      </c>
      <c r="D21" s="167"/>
      <c r="E21" s="18" t="s">
        <v>12</v>
      </c>
      <c r="F21" s="30" t="s">
        <v>169</v>
      </c>
      <c r="G21" s="168"/>
      <c r="H21" s="169"/>
    </row>
    <row r="22" spans="1:10" ht="20.25" customHeight="1" x14ac:dyDescent="0.5">
      <c r="C22" s="166">
        <f t="shared" ref="C22:C26" si="1">G22</f>
        <v>0</v>
      </c>
      <c r="D22" s="167"/>
      <c r="E22" s="18" t="s">
        <v>4</v>
      </c>
      <c r="F22" s="30" t="s">
        <v>212</v>
      </c>
      <c r="G22" s="168"/>
      <c r="H22" s="169"/>
    </row>
    <row r="23" spans="1:10" ht="20.25" customHeight="1" x14ac:dyDescent="0.5">
      <c r="C23" s="166">
        <f t="shared" si="1"/>
        <v>0</v>
      </c>
      <c r="D23" s="167"/>
      <c r="E23" s="18" t="s">
        <v>5</v>
      </c>
      <c r="F23" s="30" t="s">
        <v>212</v>
      </c>
      <c r="G23" s="168"/>
      <c r="H23" s="169"/>
    </row>
    <row r="24" spans="1:10" ht="20.25" customHeight="1" x14ac:dyDescent="0.5">
      <c r="C24" s="166">
        <f t="shared" si="1"/>
        <v>0</v>
      </c>
      <c r="D24" s="167"/>
      <c r="E24" s="18" t="s">
        <v>8</v>
      </c>
      <c r="F24" s="30" t="s">
        <v>174</v>
      </c>
      <c r="G24" s="168"/>
      <c r="H24" s="169"/>
    </row>
    <row r="25" spans="1:10" ht="20.25" customHeight="1" x14ac:dyDescent="0.5">
      <c r="C25" s="166">
        <f t="shared" si="1"/>
        <v>0</v>
      </c>
      <c r="D25" s="167"/>
      <c r="E25" s="18" t="s">
        <v>7</v>
      </c>
      <c r="F25" s="30" t="s">
        <v>173</v>
      </c>
      <c r="G25" s="168"/>
      <c r="H25" s="169"/>
    </row>
    <row r="26" spans="1:10" ht="20.25" customHeight="1" x14ac:dyDescent="0.5">
      <c r="C26" s="166">
        <f t="shared" si="1"/>
        <v>0</v>
      </c>
      <c r="D26" s="167"/>
      <c r="E26" s="18" t="s">
        <v>6</v>
      </c>
      <c r="F26" s="30" t="s">
        <v>171</v>
      </c>
      <c r="G26" s="168"/>
      <c r="H26" s="169"/>
    </row>
    <row r="27" spans="1:10" ht="20.25" customHeight="1" x14ac:dyDescent="0.5">
      <c r="C27" s="117"/>
      <c r="D27" s="118"/>
      <c r="E27" s="88" t="s">
        <v>207</v>
      </c>
      <c r="F27" s="30"/>
      <c r="G27" s="117"/>
      <c r="H27" s="118"/>
    </row>
    <row r="28" spans="1:10" ht="20.25" customHeight="1" x14ac:dyDescent="0.5">
      <c r="C28" s="166">
        <f t="shared" ref="C28" si="2">G28</f>
        <v>0</v>
      </c>
      <c r="D28" s="167"/>
      <c r="E28" s="18" t="s">
        <v>10</v>
      </c>
      <c r="F28" s="30" t="s">
        <v>177</v>
      </c>
      <c r="G28" s="168"/>
      <c r="H28" s="169"/>
    </row>
    <row r="29" spans="1:10" ht="20.25" customHeight="1" x14ac:dyDescent="0.5">
      <c r="C29" s="166">
        <f t="shared" ref="C29:C44" si="3">G29</f>
        <v>0</v>
      </c>
      <c r="D29" s="167"/>
      <c r="E29" s="18" t="s">
        <v>95</v>
      </c>
      <c r="F29" s="30" t="s">
        <v>178</v>
      </c>
      <c r="G29" s="168"/>
      <c r="H29" s="169"/>
    </row>
    <row r="30" spans="1:10" ht="20.25" customHeight="1" x14ac:dyDescent="0.5">
      <c r="C30" s="166">
        <f t="shared" si="3"/>
        <v>0</v>
      </c>
      <c r="D30" s="167"/>
      <c r="E30" s="18" t="s">
        <v>111</v>
      </c>
      <c r="F30" s="30" t="s">
        <v>125</v>
      </c>
      <c r="G30" s="168"/>
      <c r="H30" s="169"/>
    </row>
    <row r="31" spans="1:10" ht="20.25" customHeight="1" x14ac:dyDescent="0.5">
      <c r="C31" s="166">
        <f t="shared" si="3"/>
        <v>0</v>
      </c>
      <c r="D31" s="167"/>
      <c r="E31" s="18" t="s">
        <v>165</v>
      </c>
      <c r="F31" s="30" t="s">
        <v>126</v>
      </c>
      <c r="G31" s="168"/>
      <c r="H31" s="169"/>
      <c r="J31" s="27" t="s">
        <v>207</v>
      </c>
    </row>
    <row r="32" spans="1:10" ht="20.25" customHeight="1" x14ac:dyDescent="0.5">
      <c r="C32" s="166">
        <f t="shared" si="3"/>
        <v>706179.98</v>
      </c>
      <c r="D32" s="167"/>
      <c r="E32" s="18" t="s">
        <v>36</v>
      </c>
      <c r="F32" s="30" t="s">
        <v>73</v>
      </c>
      <c r="G32" s="168">
        <f>'รายละเอียด(หมายเหตุ2)'!E23</f>
        <v>706179.98</v>
      </c>
      <c r="H32" s="169"/>
    </row>
    <row r="33" spans="1:10" ht="20.25" customHeight="1" x14ac:dyDescent="0.5">
      <c r="C33" s="166">
        <f t="shared" si="3"/>
        <v>89800</v>
      </c>
      <c r="D33" s="167"/>
      <c r="E33" s="18" t="s">
        <v>33</v>
      </c>
      <c r="F33" s="30" t="s">
        <v>60</v>
      </c>
      <c r="G33" s="168">
        <v>89800</v>
      </c>
      <c r="H33" s="169"/>
    </row>
    <row r="34" spans="1:10" ht="20.25" customHeight="1" x14ac:dyDescent="0.5">
      <c r="C34" s="166">
        <f t="shared" si="3"/>
        <v>1722730</v>
      </c>
      <c r="D34" s="167"/>
      <c r="E34" s="18" t="s">
        <v>55</v>
      </c>
      <c r="F34" s="30" t="s">
        <v>59</v>
      </c>
      <c r="G34" s="168">
        <v>1722730</v>
      </c>
      <c r="H34" s="169"/>
    </row>
    <row r="35" spans="1:10" ht="20.25" customHeight="1" x14ac:dyDescent="0.5">
      <c r="C35" s="166">
        <f t="shared" si="3"/>
        <v>2412600</v>
      </c>
      <c r="D35" s="167"/>
      <c r="E35" s="18" t="s">
        <v>86</v>
      </c>
      <c r="F35" s="30" t="s">
        <v>74</v>
      </c>
      <c r="G35" s="168">
        <v>2412600</v>
      </c>
      <c r="H35" s="169"/>
    </row>
    <row r="36" spans="1:10" ht="20.25" customHeight="1" x14ac:dyDescent="0.5">
      <c r="C36" s="166">
        <f t="shared" si="3"/>
        <v>0</v>
      </c>
      <c r="D36" s="167"/>
      <c r="E36" s="18" t="s">
        <v>91</v>
      </c>
      <c r="F36" s="30" t="s">
        <v>92</v>
      </c>
      <c r="G36" s="168"/>
      <c r="H36" s="169"/>
    </row>
    <row r="37" spans="1:10" ht="20.25" customHeight="1" x14ac:dyDescent="0.5">
      <c r="C37" s="166">
        <f t="shared" si="3"/>
        <v>0</v>
      </c>
      <c r="D37" s="167"/>
      <c r="E37" s="18" t="s">
        <v>195</v>
      </c>
      <c r="F37" s="30" t="s">
        <v>145</v>
      </c>
      <c r="G37" s="168"/>
      <c r="H37" s="169"/>
    </row>
    <row r="38" spans="1:10" ht="20.25" customHeight="1" x14ac:dyDescent="0.5">
      <c r="A38" s="36"/>
      <c r="C38" s="166">
        <f t="shared" si="3"/>
        <v>0</v>
      </c>
      <c r="D38" s="167"/>
      <c r="E38" s="18" t="s">
        <v>113</v>
      </c>
      <c r="F38" s="30" t="s">
        <v>144</v>
      </c>
      <c r="G38" s="168"/>
      <c r="H38" s="169"/>
    </row>
    <row r="39" spans="1:10" ht="20.25" customHeight="1" x14ac:dyDescent="0.5">
      <c r="A39" s="36"/>
      <c r="B39" s="80"/>
      <c r="C39" s="166">
        <f t="shared" si="3"/>
        <v>2226</v>
      </c>
      <c r="D39" s="167"/>
      <c r="E39" s="18" t="s">
        <v>186</v>
      </c>
      <c r="F39" s="30" t="s">
        <v>184</v>
      </c>
      <c r="G39" s="168">
        <v>2226</v>
      </c>
      <c r="H39" s="169"/>
    </row>
    <row r="40" spans="1:10" ht="20.25" customHeight="1" x14ac:dyDescent="0.5">
      <c r="A40" s="36"/>
      <c r="B40" s="80"/>
      <c r="C40" s="166">
        <f t="shared" si="3"/>
        <v>0</v>
      </c>
      <c r="D40" s="167"/>
      <c r="E40" s="18" t="s">
        <v>210</v>
      </c>
      <c r="F40" s="30" t="s">
        <v>176</v>
      </c>
      <c r="G40" s="168"/>
      <c r="H40" s="169"/>
    </row>
    <row r="41" spans="1:10" ht="20.25" customHeight="1" x14ac:dyDescent="0.5">
      <c r="A41" s="36"/>
      <c r="B41" s="80"/>
      <c r="C41" s="166">
        <f t="shared" si="3"/>
        <v>0</v>
      </c>
      <c r="D41" s="167"/>
      <c r="E41" s="18" t="s">
        <v>205</v>
      </c>
      <c r="F41" s="30" t="s">
        <v>127</v>
      </c>
      <c r="G41" s="168"/>
      <c r="H41" s="169"/>
    </row>
    <row r="42" spans="1:10" ht="20.25" customHeight="1" x14ac:dyDescent="0.5">
      <c r="A42" s="36"/>
      <c r="B42" s="80"/>
      <c r="C42" s="166">
        <f t="shared" si="3"/>
        <v>0</v>
      </c>
      <c r="D42" s="167"/>
      <c r="E42" s="18" t="s">
        <v>200</v>
      </c>
      <c r="F42" s="30"/>
      <c r="G42" s="168"/>
      <c r="H42" s="169"/>
    </row>
    <row r="43" spans="1:10" ht="20.25" customHeight="1" x14ac:dyDescent="0.5">
      <c r="A43" s="36"/>
      <c r="B43" s="80"/>
      <c r="C43" s="166">
        <f t="shared" si="3"/>
        <v>0</v>
      </c>
      <c r="D43" s="167"/>
      <c r="E43" s="18" t="s">
        <v>209</v>
      </c>
      <c r="F43" s="30" t="s">
        <v>139</v>
      </c>
      <c r="G43" s="168"/>
      <c r="H43" s="169"/>
    </row>
    <row r="44" spans="1:10" ht="20.25" customHeight="1" x14ac:dyDescent="0.5">
      <c r="C44" s="166">
        <f t="shared" si="3"/>
        <v>0</v>
      </c>
      <c r="D44" s="167"/>
      <c r="E44" s="18" t="s">
        <v>54</v>
      </c>
      <c r="F44" s="33" t="s">
        <v>72</v>
      </c>
      <c r="G44" s="168"/>
      <c r="H44" s="169"/>
      <c r="I44" s="36">
        <f>C44+478000</f>
        <v>478000</v>
      </c>
      <c r="J44" s="27">
        <f>5371398.14-C44</f>
        <v>5371398.1399999997</v>
      </c>
    </row>
    <row r="45" spans="1:10" ht="20.25" customHeight="1" x14ac:dyDescent="0.5">
      <c r="C45" s="172">
        <f>SUM(C19:C44)</f>
        <v>4933535.9800000004</v>
      </c>
      <c r="D45" s="173"/>
      <c r="F45" s="35"/>
      <c r="G45" s="172">
        <f>SUM(G18:G44)</f>
        <v>4933535.9800000004</v>
      </c>
      <c r="H45" s="173"/>
    </row>
    <row r="46" spans="1:10" ht="20.25" customHeight="1" thickBot="1" x14ac:dyDescent="0.55000000000000004">
      <c r="C46" s="205">
        <f>C17+C45</f>
        <v>7172061.3100000005</v>
      </c>
      <c r="D46" s="206"/>
      <c r="E46" s="73" t="s">
        <v>37</v>
      </c>
      <c r="G46" s="205">
        <f>G17+G45</f>
        <v>7172061.3100000005</v>
      </c>
      <c r="H46" s="206"/>
    </row>
    <row r="47" spans="1:10" ht="20.25" customHeight="1" thickTop="1" x14ac:dyDescent="0.5">
      <c r="C47" s="75"/>
      <c r="D47" s="76"/>
      <c r="E47" s="73"/>
      <c r="G47" s="75"/>
      <c r="H47" s="76"/>
    </row>
    <row r="48" spans="1:10" ht="20.25" customHeight="1" x14ac:dyDescent="0.5">
      <c r="C48" s="166">
        <f>'งบรับจ่ายเงินสด  55'!C55:D55-'ใบต่อ  55'!C46:D46</f>
        <v>2149551.7499999981</v>
      </c>
      <c r="D48" s="167"/>
      <c r="E48" s="73" t="s">
        <v>38</v>
      </c>
      <c r="G48" s="166">
        <f>'งบรับจ่ายเงินสด  55'!G55:H55-'ใบต่อ  55'!G46:H46</f>
        <v>2149551.7499999981</v>
      </c>
      <c r="H48" s="167"/>
    </row>
    <row r="49" spans="1:11" ht="20.25" customHeight="1" x14ac:dyDescent="0.5">
      <c r="C49" s="168"/>
      <c r="D49" s="169"/>
      <c r="E49" s="73" t="s">
        <v>39</v>
      </c>
      <c r="G49" s="168"/>
      <c r="H49" s="169"/>
    </row>
    <row r="50" spans="1:11" ht="20.25" customHeight="1" x14ac:dyDescent="0.5">
      <c r="C50" s="168"/>
      <c r="D50" s="169"/>
      <c r="E50" s="73" t="s">
        <v>40</v>
      </c>
      <c r="G50" s="166"/>
      <c r="H50" s="167"/>
    </row>
    <row r="51" spans="1:11" ht="20.25" customHeight="1" thickBot="1" x14ac:dyDescent="0.55000000000000004">
      <c r="C51" s="205">
        <f>'งบรับจ่ายเงินสด  55'!C9:D9+'งบรับจ่ายเงินสด  55'!C55:D55-'ใบต่อ  55'!C46:D46</f>
        <v>76495547.959999993</v>
      </c>
      <c r="D51" s="206"/>
      <c r="E51" s="73" t="s">
        <v>41</v>
      </c>
      <c r="G51" s="205">
        <f>'งบรับจ่ายเงินสด  55'!G9:H9+'งบรับจ่ายเงินสด  55'!G55:H55-'ใบต่อ  55'!G46:H46</f>
        <v>76495547.959999993</v>
      </c>
      <c r="H51" s="206"/>
      <c r="I51" s="36">
        <f>76494475.58</f>
        <v>76494475.579999998</v>
      </c>
      <c r="J51" s="27">
        <v>74345996.209999993</v>
      </c>
      <c r="K51" s="27">
        <v>74345996.120000005</v>
      </c>
    </row>
    <row r="52" spans="1:11" ht="20.25" customHeight="1" thickTop="1" x14ac:dyDescent="0.5">
      <c r="C52" s="37" t="s">
        <v>166</v>
      </c>
      <c r="D52" s="37"/>
      <c r="E52" s="73"/>
      <c r="G52" s="74"/>
      <c r="H52" s="74"/>
      <c r="I52" s="36" t="s">
        <v>185</v>
      </c>
    </row>
    <row r="53" spans="1:11" ht="20.25" customHeight="1" x14ac:dyDescent="0.5">
      <c r="A53" s="27" t="s">
        <v>119</v>
      </c>
      <c r="C53" s="37"/>
      <c r="D53" s="37"/>
      <c r="E53" s="119" t="s">
        <v>119</v>
      </c>
      <c r="F53" s="18" t="s">
        <v>122</v>
      </c>
      <c r="G53" s="74"/>
      <c r="H53" s="74"/>
      <c r="I53" s="65">
        <f>G51-I51</f>
        <v>1072.3799999952316</v>
      </c>
    </row>
    <row r="54" spans="1:11" ht="20.25" customHeight="1" x14ac:dyDescent="0.5">
      <c r="A54" s="27" t="s">
        <v>120</v>
      </c>
      <c r="C54" s="37"/>
      <c r="D54" s="37"/>
      <c r="E54" s="119" t="s">
        <v>99</v>
      </c>
      <c r="F54" s="204" t="s">
        <v>148</v>
      </c>
      <c r="G54" s="204"/>
      <c r="H54" s="204"/>
      <c r="J54" s="92">
        <f>G51-J51</f>
        <v>2149551.75</v>
      </c>
      <c r="K54" s="27">
        <f>K51-G51</f>
        <v>-2149551.8399999887</v>
      </c>
    </row>
    <row r="55" spans="1:11" ht="20.25" customHeight="1" x14ac:dyDescent="0.5">
      <c r="A55" s="27" t="s">
        <v>121</v>
      </c>
      <c r="C55" s="37"/>
      <c r="D55" s="37"/>
      <c r="E55" s="119" t="s">
        <v>100</v>
      </c>
      <c r="F55" s="18" t="s">
        <v>190</v>
      </c>
      <c r="G55" s="74"/>
      <c r="H55" s="74"/>
    </row>
    <row r="56" spans="1:11" ht="20.25" customHeight="1" x14ac:dyDescent="0.5">
      <c r="C56" s="37"/>
      <c r="D56" s="37"/>
      <c r="E56" s="119"/>
      <c r="G56" s="74"/>
      <c r="H56" s="74"/>
    </row>
    <row r="57" spans="1:11" ht="20.25" customHeight="1" thickBot="1" x14ac:dyDescent="0.55000000000000004">
      <c r="F57" s="22" t="s">
        <v>223</v>
      </c>
      <c r="G57" s="22"/>
    </row>
    <row r="58" spans="1:11" ht="20.25" customHeight="1" thickTop="1" x14ac:dyDescent="0.5">
      <c r="A58" s="207" t="s">
        <v>18</v>
      </c>
      <c r="B58" s="208"/>
      <c r="C58" s="208"/>
      <c r="D58" s="209"/>
      <c r="E58" s="67"/>
      <c r="F58" s="207" t="s">
        <v>19</v>
      </c>
      <c r="G58" s="208"/>
      <c r="H58" s="209"/>
    </row>
    <row r="59" spans="1:11" ht="20.25" customHeight="1" x14ac:dyDescent="0.5">
      <c r="A59" s="198" t="s">
        <v>20</v>
      </c>
      <c r="B59" s="199"/>
      <c r="C59" s="198" t="s">
        <v>22</v>
      </c>
      <c r="D59" s="199"/>
      <c r="E59" s="200" t="s">
        <v>0</v>
      </c>
      <c r="F59" s="68" t="s">
        <v>23</v>
      </c>
      <c r="G59" s="198" t="s">
        <v>22</v>
      </c>
      <c r="H59" s="199"/>
    </row>
    <row r="60" spans="1:11" ht="20.25" customHeight="1" thickBot="1" x14ac:dyDescent="0.55000000000000004">
      <c r="A60" s="202" t="s">
        <v>21</v>
      </c>
      <c r="B60" s="203"/>
      <c r="C60" s="202" t="s">
        <v>21</v>
      </c>
      <c r="D60" s="203"/>
      <c r="E60" s="201"/>
      <c r="F60" s="69" t="s">
        <v>24</v>
      </c>
      <c r="G60" s="202" t="s">
        <v>21</v>
      </c>
      <c r="H60" s="203"/>
    </row>
    <row r="61" spans="1:11" ht="20.25" customHeight="1" thickTop="1" x14ac:dyDescent="0.5">
      <c r="A61" s="28"/>
      <c r="B61" s="29"/>
      <c r="C61" s="176"/>
      <c r="D61" s="177"/>
      <c r="E61" s="22" t="s">
        <v>35</v>
      </c>
      <c r="F61" s="30"/>
      <c r="G61" s="176"/>
      <c r="H61" s="177"/>
    </row>
    <row r="62" spans="1:11" ht="20.25" customHeight="1" x14ac:dyDescent="0.5">
      <c r="A62" s="31">
        <v>16918800</v>
      </c>
      <c r="B62" s="32" t="s">
        <v>16</v>
      </c>
      <c r="C62" s="168">
        <f>C6+G62</f>
        <v>31724</v>
      </c>
      <c r="D62" s="169"/>
      <c r="E62" s="18" t="s">
        <v>12</v>
      </c>
      <c r="F62" s="30" t="s">
        <v>61</v>
      </c>
      <c r="G62" s="168">
        <v>31724</v>
      </c>
      <c r="H62" s="169"/>
    </row>
    <row r="63" spans="1:11" ht="20.25" customHeight="1" x14ac:dyDescent="0.5">
      <c r="A63" s="31">
        <f>10324292+5692248+1314600+1368240</f>
        <v>18699380</v>
      </c>
      <c r="B63" s="32" t="s">
        <v>16</v>
      </c>
      <c r="C63" s="168">
        <f t="shared" ref="C63:C72" si="4">C7+G63</f>
        <v>2213620</v>
      </c>
      <c r="D63" s="169"/>
      <c r="E63" s="18" t="s">
        <v>4</v>
      </c>
      <c r="F63" s="30" t="s">
        <v>84</v>
      </c>
      <c r="G63" s="168">
        <v>1274100</v>
      </c>
      <c r="H63" s="169"/>
    </row>
    <row r="64" spans="1:11" ht="20.25" customHeight="1" x14ac:dyDescent="0.5">
      <c r="A64" s="31">
        <f>4879700+2204350+1699200+1231880</f>
        <v>10015130</v>
      </c>
      <c r="B64" s="32" t="s">
        <v>16</v>
      </c>
      <c r="C64" s="168">
        <f t="shared" si="4"/>
        <v>1232220</v>
      </c>
      <c r="D64" s="169"/>
      <c r="E64" s="18" t="s">
        <v>5</v>
      </c>
      <c r="F64" s="30" t="s">
        <v>85</v>
      </c>
      <c r="G64" s="168">
        <v>616175</v>
      </c>
      <c r="H64" s="169"/>
    </row>
    <row r="65" spans="1:8" ht="20.25" customHeight="1" x14ac:dyDescent="0.5">
      <c r="A65" s="31">
        <f>1580000+480000+231900+30000+350000</f>
        <v>2671900</v>
      </c>
      <c r="B65" s="32" t="s">
        <v>16</v>
      </c>
      <c r="C65" s="168">
        <f t="shared" si="4"/>
        <v>40170</v>
      </c>
      <c r="D65" s="169"/>
      <c r="E65" s="18" t="s">
        <v>6</v>
      </c>
      <c r="F65" s="30" t="s">
        <v>63</v>
      </c>
      <c r="G65" s="168">
        <v>30670</v>
      </c>
      <c r="H65" s="169"/>
    </row>
    <row r="66" spans="1:8" ht="20.25" customHeight="1" x14ac:dyDescent="0.5">
      <c r="A66" s="31">
        <f>5939000+100000+4740800+830000+894000+6547000+1215000+670000</f>
        <v>20935800</v>
      </c>
      <c r="B66" s="32" t="s">
        <v>16</v>
      </c>
      <c r="C66" s="168">
        <f t="shared" si="4"/>
        <v>2323573.91</v>
      </c>
      <c r="D66" s="169"/>
      <c r="E66" s="18" t="s">
        <v>7</v>
      </c>
      <c r="F66" s="30" t="s">
        <v>64</v>
      </c>
      <c r="G66" s="168">
        <f>1563713.91+3900+128700+5900+3600+80000</f>
        <v>1785813.91</v>
      </c>
      <c r="H66" s="169"/>
    </row>
    <row r="67" spans="1:8" ht="20.25" customHeight="1" x14ac:dyDescent="0.5">
      <c r="A67" s="31">
        <f>1205000+1508120+1280000+1550000</f>
        <v>5543120</v>
      </c>
      <c r="B67" s="32" t="s">
        <v>16</v>
      </c>
      <c r="C67" s="168">
        <f t="shared" si="4"/>
        <v>434101.3</v>
      </c>
      <c r="D67" s="169"/>
      <c r="E67" s="18" t="s">
        <v>8</v>
      </c>
      <c r="F67" s="30" t="s">
        <v>65</v>
      </c>
      <c r="G67" s="168">
        <v>422101.3</v>
      </c>
      <c r="H67" s="169"/>
    </row>
    <row r="68" spans="1:8" ht="20.25" customHeight="1" x14ac:dyDescent="0.5">
      <c r="A68" s="31">
        <f>530000+620000</f>
        <v>1150000</v>
      </c>
      <c r="B68" s="32" t="s">
        <v>16</v>
      </c>
      <c r="C68" s="168">
        <f t="shared" si="4"/>
        <v>231001.36</v>
      </c>
      <c r="D68" s="169"/>
      <c r="E68" s="18" t="s">
        <v>9</v>
      </c>
      <c r="F68" s="30" t="s">
        <v>66</v>
      </c>
      <c r="G68" s="168">
        <v>107301.03</v>
      </c>
      <c r="H68" s="169"/>
    </row>
    <row r="69" spans="1:8" ht="20.25" customHeight="1" x14ac:dyDescent="0.5">
      <c r="A69" s="31">
        <f>1600000+1000000</f>
        <v>2600000</v>
      </c>
      <c r="B69" s="32"/>
      <c r="C69" s="168">
        <f t="shared" si="4"/>
        <v>305543.93</v>
      </c>
      <c r="D69" s="169"/>
      <c r="E69" s="18" t="s">
        <v>13</v>
      </c>
      <c r="F69" s="30" t="s">
        <v>67</v>
      </c>
      <c r="G69" s="168">
        <v>305543.93</v>
      </c>
      <c r="H69" s="169"/>
    </row>
    <row r="70" spans="1:8" ht="20.25" customHeight="1" x14ac:dyDescent="0.5">
      <c r="A70" s="31">
        <f>1425900+187000+865500+2425000+10000+125000+2841000</f>
        <v>7879400</v>
      </c>
      <c r="B70" s="32" t="s">
        <v>16</v>
      </c>
      <c r="C70" s="168">
        <f t="shared" si="4"/>
        <v>0</v>
      </c>
      <c r="D70" s="169"/>
      <c r="E70" s="18" t="s">
        <v>10</v>
      </c>
      <c r="F70" s="30" t="s">
        <v>68</v>
      </c>
      <c r="G70" s="168"/>
      <c r="H70" s="169"/>
    </row>
    <row r="71" spans="1:8" ht="20.25" customHeight="1" x14ac:dyDescent="0.5">
      <c r="A71" s="7">
        <f>100000+100000+1627000+100000+7459470+500000</f>
        <v>9886470</v>
      </c>
      <c r="B71" s="32"/>
      <c r="C71" s="168">
        <f t="shared" si="4"/>
        <v>0</v>
      </c>
      <c r="D71" s="169"/>
      <c r="E71" s="18" t="s">
        <v>95</v>
      </c>
      <c r="F71" s="30" t="s">
        <v>69</v>
      </c>
      <c r="G71" s="168"/>
      <c r="H71" s="169"/>
    </row>
    <row r="72" spans="1:8" ht="20.25" customHeight="1" x14ac:dyDescent="0.5">
      <c r="A72" s="7"/>
      <c r="B72" s="32"/>
      <c r="C72" s="168">
        <f t="shared" si="4"/>
        <v>0</v>
      </c>
      <c r="D72" s="169"/>
      <c r="E72" s="18" t="s">
        <v>96</v>
      </c>
      <c r="F72" s="33" t="s">
        <v>93</v>
      </c>
      <c r="G72" s="168"/>
      <c r="H72" s="169"/>
    </row>
    <row r="73" spans="1:8" ht="20.25" customHeight="1" thickBot="1" x14ac:dyDescent="0.55000000000000004">
      <c r="A73" s="70">
        <f>SUM(A62:A72)</f>
        <v>96300000</v>
      </c>
      <c r="B73" s="71" t="s">
        <v>16</v>
      </c>
      <c r="C73" s="205">
        <f>SUM(C62:C72)</f>
        <v>6811954.5</v>
      </c>
      <c r="D73" s="206"/>
      <c r="E73" s="72"/>
      <c r="F73" s="30"/>
      <c r="G73" s="205">
        <f>SUM(G62:G72)</f>
        <v>4573429.17</v>
      </c>
      <c r="H73" s="206"/>
    </row>
    <row r="74" spans="1:8" ht="20.25" customHeight="1" thickTop="1" x14ac:dyDescent="0.5">
      <c r="C74" s="176"/>
      <c r="D74" s="177"/>
      <c r="E74" s="62" t="s">
        <v>226</v>
      </c>
      <c r="F74" s="30"/>
      <c r="G74" s="176">
        <v>0</v>
      </c>
      <c r="H74" s="177"/>
    </row>
    <row r="75" spans="1:8" ht="20.25" customHeight="1" x14ac:dyDescent="0.5">
      <c r="C75" s="166">
        <f>C19</f>
        <v>0</v>
      </c>
      <c r="D75" s="167"/>
      <c r="E75" s="34" t="s">
        <v>135</v>
      </c>
      <c r="F75" s="30" t="s">
        <v>169</v>
      </c>
      <c r="G75" s="166"/>
      <c r="H75" s="167"/>
    </row>
    <row r="76" spans="1:8" ht="20.25" customHeight="1" x14ac:dyDescent="0.5">
      <c r="C76" s="168"/>
      <c r="D76" s="169"/>
      <c r="E76" s="39" t="s">
        <v>227</v>
      </c>
      <c r="F76" s="30"/>
      <c r="G76" s="168"/>
      <c r="H76" s="169"/>
    </row>
    <row r="77" spans="1:8" ht="20.25" customHeight="1" x14ac:dyDescent="0.5">
      <c r="C77" s="166">
        <f>G77</f>
        <v>0</v>
      </c>
      <c r="D77" s="167"/>
      <c r="E77" s="18" t="s">
        <v>12</v>
      </c>
      <c r="F77" s="30" t="s">
        <v>169</v>
      </c>
      <c r="G77" s="168"/>
      <c r="H77" s="169"/>
    </row>
    <row r="78" spans="1:8" ht="20.25" customHeight="1" x14ac:dyDescent="0.5">
      <c r="C78" s="166">
        <f t="shared" ref="C78:C82" si="5">G78</f>
        <v>0</v>
      </c>
      <c r="D78" s="167"/>
      <c r="E78" s="18" t="s">
        <v>4</v>
      </c>
      <c r="F78" s="30" t="s">
        <v>212</v>
      </c>
      <c r="G78" s="168"/>
      <c r="H78" s="169"/>
    </row>
    <row r="79" spans="1:8" ht="20.25" customHeight="1" x14ac:dyDescent="0.5">
      <c r="C79" s="166">
        <f t="shared" si="5"/>
        <v>0</v>
      </c>
      <c r="D79" s="167"/>
      <c r="E79" s="18" t="s">
        <v>5</v>
      </c>
      <c r="F79" s="30" t="s">
        <v>212</v>
      </c>
      <c r="G79" s="168"/>
      <c r="H79" s="169"/>
    </row>
    <row r="80" spans="1:8" ht="20.25" customHeight="1" x14ac:dyDescent="0.5">
      <c r="C80" s="166">
        <f t="shared" si="5"/>
        <v>0</v>
      </c>
      <c r="D80" s="167"/>
      <c r="E80" s="18" t="s">
        <v>8</v>
      </c>
      <c r="F80" s="30" t="s">
        <v>174</v>
      </c>
      <c r="G80" s="168"/>
      <c r="H80" s="169"/>
    </row>
    <row r="81" spans="1:8" ht="20.25" customHeight="1" x14ac:dyDescent="0.5">
      <c r="C81" s="166">
        <f t="shared" si="5"/>
        <v>0</v>
      </c>
      <c r="D81" s="167"/>
      <c r="E81" s="18" t="s">
        <v>7</v>
      </c>
      <c r="F81" s="30" t="s">
        <v>173</v>
      </c>
      <c r="G81" s="168"/>
      <c r="H81" s="169"/>
    </row>
    <row r="82" spans="1:8" ht="20.25" customHeight="1" x14ac:dyDescent="0.5">
      <c r="C82" s="166">
        <f t="shared" si="5"/>
        <v>0</v>
      </c>
      <c r="D82" s="167"/>
      <c r="E82" s="18" t="s">
        <v>6</v>
      </c>
      <c r="F82" s="30" t="s">
        <v>171</v>
      </c>
      <c r="G82" s="168"/>
      <c r="H82" s="169"/>
    </row>
    <row r="83" spans="1:8" ht="20.25" customHeight="1" x14ac:dyDescent="0.5">
      <c r="C83" s="166">
        <f t="shared" ref="C83:C86" si="6">G83</f>
        <v>0</v>
      </c>
      <c r="D83" s="167"/>
      <c r="E83" s="18" t="s">
        <v>10</v>
      </c>
      <c r="F83" s="30" t="s">
        <v>177</v>
      </c>
      <c r="G83" s="168"/>
      <c r="H83" s="169"/>
    </row>
    <row r="84" spans="1:8" ht="20.25" customHeight="1" x14ac:dyDescent="0.5">
      <c r="C84" s="166">
        <f t="shared" si="6"/>
        <v>0</v>
      </c>
      <c r="D84" s="167"/>
      <c r="E84" s="18" t="s">
        <v>95</v>
      </c>
      <c r="F84" s="30" t="s">
        <v>178</v>
      </c>
      <c r="G84" s="168"/>
      <c r="H84" s="169"/>
    </row>
    <row r="85" spans="1:8" ht="20.25" customHeight="1" x14ac:dyDescent="0.5">
      <c r="C85" s="166">
        <f t="shared" si="6"/>
        <v>1691596.87</v>
      </c>
      <c r="D85" s="167"/>
      <c r="E85" s="18" t="s">
        <v>111</v>
      </c>
      <c r="F85" s="30" t="s">
        <v>125</v>
      </c>
      <c r="G85" s="168">
        <v>1691596.87</v>
      </c>
      <c r="H85" s="169"/>
    </row>
    <row r="86" spans="1:8" ht="20.25" customHeight="1" x14ac:dyDescent="0.5">
      <c r="C86" s="166">
        <f t="shared" si="6"/>
        <v>0</v>
      </c>
      <c r="D86" s="167"/>
      <c r="E86" s="18" t="s">
        <v>165</v>
      </c>
      <c r="F86" s="30" t="s">
        <v>126</v>
      </c>
      <c r="G86" s="168"/>
      <c r="H86" s="169"/>
    </row>
    <row r="87" spans="1:8" ht="20.25" customHeight="1" x14ac:dyDescent="0.5">
      <c r="C87" s="166">
        <f>C32+G87</f>
        <v>1294202.2</v>
      </c>
      <c r="D87" s="167"/>
      <c r="E87" s="18" t="s">
        <v>36</v>
      </c>
      <c r="F87" s="30" t="s">
        <v>73</v>
      </c>
      <c r="G87" s="168">
        <f>'รายละเอียด(หมายเหตุ2)'!E60</f>
        <v>588022.22</v>
      </c>
      <c r="H87" s="169"/>
    </row>
    <row r="88" spans="1:8" ht="20.25" customHeight="1" x14ac:dyDescent="0.5">
      <c r="C88" s="166">
        <f>C33+G88</f>
        <v>264904</v>
      </c>
      <c r="D88" s="167"/>
      <c r="E88" s="18" t="s">
        <v>33</v>
      </c>
      <c r="F88" s="30" t="s">
        <v>60</v>
      </c>
      <c r="G88" s="168">
        <v>175104</v>
      </c>
      <c r="H88" s="169"/>
    </row>
    <row r="89" spans="1:8" ht="20.25" customHeight="1" x14ac:dyDescent="0.5">
      <c r="C89" s="166">
        <f>C34+G89</f>
        <v>3115630</v>
      </c>
      <c r="D89" s="167"/>
      <c r="E89" s="18" t="s">
        <v>55</v>
      </c>
      <c r="F89" s="30" t="s">
        <v>59</v>
      </c>
      <c r="G89" s="168">
        <v>1392900</v>
      </c>
      <c r="H89" s="169"/>
    </row>
    <row r="90" spans="1:8" ht="20.25" customHeight="1" x14ac:dyDescent="0.5">
      <c r="C90" s="166">
        <f>C35+G90</f>
        <v>2472600</v>
      </c>
      <c r="D90" s="167"/>
      <c r="E90" s="18" t="s">
        <v>86</v>
      </c>
      <c r="F90" s="30" t="s">
        <v>74</v>
      </c>
      <c r="G90" s="168">
        <v>60000</v>
      </c>
      <c r="H90" s="169"/>
    </row>
    <row r="91" spans="1:8" ht="20.25" customHeight="1" x14ac:dyDescent="0.5">
      <c r="C91" s="166">
        <f>C36+G91</f>
        <v>0</v>
      </c>
      <c r="D91" s="167"/>
      <c r="E91" s="18" t="s">
        <v>91</v>
      </c>
      <c r="F91" s="30" t="s">
        <v>92</v>
      </c>
      <c r="G91" s="168"/>
      <c r="H91" s="169"/>
    </row>
    <row r="92" spans="1:8" ht="20.25" customHeight="1" x14ac:dyDescent="0.5">
      <c r="A92" s="36"/>
      <c r="C92" s="166">
        <f t="shared" ref="C92:C98" si="7">C38+G92</f>
        <v>0</v>
      </c>
      <c r="D92" s="167"/>
      <c r="E92" s="18" t="s">
        <v>113</v>
      </c>
      <c r="F92" s="30" t="s">
        <v>144</v>
      </c>
      <c r="G92" s="168"/>
      <c r="H92" s="169"/>
    </row>
    <row r="93" spans="1:8" ht="20.25" customHeight="1" x14ac:dyDescent="0.5">
      <c r="A93" s="36"/>
      <c r="B93" s="80"/>
      <c r="C93" s="166">
        <f t="shared" si="7"/>
        <v>2226</v>
      </c>
      <c r="D93" s="167"/>
      <c r="E93" s="18" t="s">
        <v>186</v>
      </c>
      <c r="F93" s="30" t="s">
        <v>184</v>
      </c>
      <c r="G93" s="168"/>
      <c r="H93" s="169"/>
    </row>
    <row r="94" spans="1:8" ht="20.25" customHeight="1" x14ac:dyDescent="0.5">
      <c r="A94" s="36"/>
      <c r="B94" s="80"/>
      <c r="C94" s="166">
        <f t="shared" si="7"/>
        <v>0</v>
      </c>
      <c r="D94" s="167"/>
      <c r="E94" s="18" t="s">
        <v>210</v>
      </c>
      <c r="F94" s="30" t="s">
        <v>176</v>
      </c>
      <c r="G94" s="168"/>
      <c r="H94" s="169"/>
    </row>
    <row r="95" spans="1:8" ht="20.25" customHeight="1" x14ac:dyDescent="0.5">
      <c r="A95" s="36"/>
      <c r="B95" s="80"/>
      <c r="C95" s="166">
        <f t="shared" si="7"/>
        <v>0</v>
      </c>
      <c r="D95" s="167"/>
      <c r="E95" s="18" t="s">
        <v>205</v>
      </c>
      <c r="F95" s="30" t="s">
        <v>127</v>
      </c>
      <c r="G95" s="168"/>
      <c r="H95" s="169"/>
    </row>
    <row r="96" spans="1:8" ht="20.25" customHeight="1" x14ac:dyDescent="0.5">
      <c r="A96" s="36"/>
      <c r="B96" s="80"/>
      <c r="C96" s="166">
        <f t="shared" si="7"/>
        <v>0</v>
      </c>
      <c r="D96" s="167"/>
      <c r="E96" s="18" t="s">
        <v>200</v>
      </c>
      <c r="F96" s="30"/>
      <c r="G96" s="168"/>
      <c r="H96" s="169"/>
    </row>
    <row r="97" spans="1:9" ht="20.25" customHeight="1" x14ac:dyDescent="0.5">
      <c r="A97" s="36"/>
      <c r="B97" s="80"/>
      <c r="C97" s="166">
        <f t="shared" si="7"/>
        <v>0</v>
      </c>
      <c r="D97" s="167"/>
      <c r="E97" s="18" t="s">
        <v>209</v>
      </c>
      <c r="F97" s="30" t="s">
        <v>139</v>
      </c>
      <c r="G97" s="168"/>
      <c r="H97" s="169"/>
    </row>
    <row r="98" spans="1:9" ht="20.25" customHeight="1" x14ac:dyDescent="0.5">
      <c r="C98" s="166">
        <f t="shared" si="7"/>
        <v>0</v>
      </c>
      <c r="D98" s="167"/>
      <c r="E98" s="18" t="s">
        <v>54</v>
      </c>
      <c r="F98" s="33" t="s">
        <v>72</v>
      </c>
      <c r="G98" s="168"/>
      <c r="H98" s="169"/>
    </row>
    <row r="99" spans="1:9" ht="20.25" customHeight="1" x14ac:dyDescent="0.5">
      <c r="C99" s="172">
        <f>SUM(C75:C98)</f>
        <v>8841159.0700000003</v>
      </c>
      <c r="D99" s="173"/>
      <c r="F99" s="35"/>
      <c r="G99" s="172">
        <f>SUM(G74:G98)</f>
        <v>3907623.09</v>
      </c>
      <c r="H99" s="173"/>
    </row>
    <row r="100" spans="1:9" ht="20.25" customHeight="1" thickBot="1" x14ac:dyDescent="0.55000000000000004">
      <c r="C100" s="205">
        <f>C73+C99</f>
        <v>15653113.57</v>
      </c>
      <c r="D100" s="206"/>
      <c r="E100" s="73" t="s">
        <v>37</v>
      </c>
      <c r="G100" s="205">
        <f>G73+G99</f>
        <v>8481052.2599999998</v>
      </c>
      <c r="H100" s="206"/>
    </row>
    <row r="101" spans="1:9" ht="20.25" customHeight="1" thickTop="1" x14ac:dyDescent="0.5">
      <c r="C101" s="75"/>
      <c r="D101" s="76"/>
      <c r="E101" s="73"/>
      <c r="G101" s="75"/>
      <c r="H101" s="76"/>
    </row>
    <row r="102" spans="1:9" ht="20.25" customHeight="1" x14ac:dyDescent="0.5">
      <c r="C102" s="166">
        <f>'งบรับจ่ายเงินสด  55'!C104:D104-'ใบต่อ  55'!C100:D100</f>
        <v>11680158.400000002</v>
      </c>
      <c r="D102" s="167"/>
      <c r="E102" s="73" t="s">
        <v>38</v>
      </c>
      <c r="G102" s="166">
        <f>'งบรับจ่ายเงินสด  55'!G104:H104-'ใบต่อ  55'!G100:H100</f>
        <v>9530606.6500000004</v>
      </c>
      <c r="H102" s="167"/>
    </row>
    <row r="103" spans="1:9" ht="20.25" customHeight="1" x14ac:dyDescent="0.5">
      <c r="C103" s="168"/>
      <c r="D103" s="169"/>
      <c r="E103" s="73" t="s">
        <v>39</v>
      </c>
      <c r="G103" s="168"/>
      <c r="H103" s="169"/>
    </row>
    <row r="104" spans="1:9" ht="20.25" customHeight="1" x14ac:dyDescent="0.5">
      <c r="C104" s="168"/>
      <c r="D104" s="169"/>
      <c r="E104" s="73" t="s">
        <v>40</v>
      </c>
      <c r="G104" s="166"/>
      <c r="H104" s="167"/>
    </row>
    <row r="105" spans="1:9" ht="20.25" customHeight="1" thickBot="1" x14ac:dyDescent="0.55000000000000004">
      <c r="C105" s="205">
        <f>'งบรับจ่ายเงินสด  55'!C64:D64+'งบรับจ่ายเงินสด  55'!C104:D104-'ใบต่อ  55'!C100:D100</f>
        <v>86026154.609999985</v>
      </c>
      <c r="D105" s="206"/>
      <c r="E105" s="73" t="s">
        <v>41</v>
      </c>
      <c r="G105" s="205">
        <f>'งบรับจ่ายเงินสด  55'!G64:H64+'งบรับจ่ายเงินสด  55'!G104:H104-'ใบต่อ  55'!G100:H100</f>
        <v>86026154.609999985</v>
      </c>
      <c r="H105" s="206"/>
      <c r="I105" s="36">
        <f>86026154.61-G105</f>
        <v>0</v>
      </c>
    </row>
    <row r="106" spans="1:9" ht="20.25" customHeight="1" thickTop="1" x14ac:dyDescent="0.5">
      <c r="C106" s="37" t="s">
        <v>166</v>
      </c>
      <c r="D106" s="37"/>
      <c r="E106" s="73"/>
      <c r="G106" s="74"/>
      <c r="H106" s="74"/>
    </row>
    <row r="107" spans="1:9" ht="20.25" customHeight="1" x14ac:dyDescent="0.5">
      <c r="A107" s="27" t="s">
        <v>119</v>
      </c>
      <c r="C107" s="37"/>
      <c r="D107" s="37"/>
      <c r="E107" s="119" t="s">
        <v>119</v>
      </c>
      <c r="F107" s="18" t="s">
        <v>122</v>
      </c>
      <c r="G107" s="74"/>
      <c r="H107" s="74"/>
    </row>
    <row r="108" spans="1:9" ht="20.25" customHeight="1" x14ac:dyDescent="0.5">
      <c r="A108" s="27" t="s">
        <v>120</v>
      </c>
      <c r="C108" s="37"/>
      <c r="D108" s="37"/>
      <c r="E108" s="119" t="s">
        <v>99</v>
      </c>
      <c r="F108" s="204" t="s">
        <v>148</v>
      </c>
      <c r="G108" s="204"/>
      <c r="H108" s="204"/>
    </row>
    <row r="109" spans="1:9" ht="20.25" customHeight="1" x14ac:dyDescent="0.5">
      <c r="A109" s="27" t="s">
        <v>121</v>
      </c>
      <c r="C109" s="37"/>
      <c r="D109" s="37"/>
      <c r="E109" s="119" t="s">
        <v>100</v>
      </c>
      <c r="F109" s="18" t="s">
        <v>190</v>
      </c>
      <c r="G109" s="74"/>
      <c r="H109" s="74"/>
    </row>
    <row r="110" spans="1:9" ht="20.25" customHeight="1" x14ac:dyDescent="0.5">
      <c r="C110" s="37"/>
      <c r="D110" s="37"/>
      <c r="E110" s="119"/>
      <c r="G110" s="74"/>
      <c r="H110" s="74"/>
    </row>
    <row r="111" spans="1:9" ht="20.25" customHeight="1" x14ac:dyDescent="0.5">
      <c r="C111" s="37"/>
      <c r="D111" s="37"/>
      <c r="E111" s="119"/>
      <c r="G111" s="74"/>
      <c r="H111" s="74"/>
    </row>
    <row r="112" spans="1:9" ht="20.25" customHeight="1" x14ac:dyDescent="0.5">
      <c r="C112" s="37"/>
      <c r="D112" s="37"/>
      <c r="E112" s="119"/>
      <c r="G112" s="74"/>
      <c r="H112" s="74"/>
    </row>
    <row r="113" spans="1:10" ht="20.25" customHeight="1" thickBot="1" x14ac:dyDescent="0.55000000000000004">
      <c r="F113" s="22" t="s">
        <v>241</v>
      </c>
      <c r="G113" s="22"/>
    </row>
    <row r="114" spans="1:10" ht="20.25" customHeight="1" thickTop="1" x14ac:dyDescent="0.5">
      <c r="A114" s="207" t="s">
        <v>18</v>
      </c>
      <c r="B114" s="208"/>
      <c r="C114" s="208"/>
      <c r="D114" s="209"/>
      <c r="E114" s="67"/>
      <c r="F114" s="207" t="s">
        <v>19</v>
      </c>
      <c r="G114" s="208"/>
      <c r="H114" s="209"/>
    </row>
    <row r="115" spans="1:10" ht="20.25" customHeight="1" x14ac:dyDescent="0.5">
      <c r="A115" s="198" t="s">
        <v>20</v>
      </c>
      <c r="B115" s="199"/>
      <c r="C115" s="198" t="s">
        <v>22</v>
      </c>
      <c r="D115" s="199"/>
      <c r="E115" s="200" t="s">
        <v>0</v>
      </c>
      <c r="F115" s="68" t="s">
        <v>23</v>
      </c>
      <c r="G115" s="198" t="s">
        <v>22</v>
      </c>
      <c r="H115" s="199"/>
    </row>
    <row r="116" spans="1:10" ht="20.25" customHeight="1" thickBot="1" x14ac:dyDescent="0.55000000000000004">
      <c r="A116" s="202" t="s">
        <v>21</v>
      </c>
      <c r="B116" s="203"/>
      <c r="C116" s="202" t="s">
        <v>21</v>
      </c>
      <c r="D116" s="203"/>
      <c r="E116" s="201"/>
      <c r="F116" s="69" t="s">
        <v>24</v>
      </c>
      <c r="G116" s="202" t="s">
        <v>21</v>
      </c>
      <c r="H116" s="203"/>
    </row>
    <row r="117" spans="1:10" ht="20.25" customHeight="1" thickTop="1" x14ac:dyDescent="0.5">
      <c r="A117" s="28"/>
      <c r="B117" s="29"/>
      <c r="C117" s="176"/>
      <c r="D117" s="177"/>
      <c r="E117" s="22" t="s">
        <v>35</v>
      </c>
      <c r="F117" s="30"/>
      <c r="G117" s="176"/>
      <c r="H117" s="177"/>
    </row>
    <row r="118" spans="1:10" ht="20.25" customHeight="1" x14ac:dyDescent="0.5">
      <c r="A118" s="31">
        <v>16918800</v>
      </c>
      <c r="B118" s="32" t="s">
        <v>16</v>
      </c>
      <c r="C118" s="168">
        <f>C62+G118</f>
        <v>1422798</v>
      </c>
      <c r="D118" s="169"/>
      <c r="E118" s="18" t="s">
        <v>12</v>
      </c>
      <c r="F118" s="30" t="s">
        <v>61</v>
      </c>
      <c r="G118" s="168">
        <f>1375074+8000+8000</f>
        <v>1391074</v>
      </c>
      <c r="H118" s="169"/>
      <c r="J118" s="27">
        <f>C118-1406798</f>
        <v>16000</v>
      </c>
    </row>
    <row r="119" spans="1:10" ht="20.25" customHeight="1" x14ac:dyDescent="0.5">
      <c r="A119" s="31">
        <f>10324292+5692248+1314600+1368240</f>
        <v>18699380</v>
      </c>
      <c r="B119" s="32" t="s">
        <v>16</v>
      </c>
      <c r="C119" s="168">
        <f t="shared" ref="C119:C128" si="8">C63+G119</f>
        <v>3822300</v>
      </c>
      <c r="D119" s="169"/>
      <c r="E119" s="18" t="s">
        <v>4</v>
      </c>
      <c r="F119" s="30" t="s">
        <v>84</v>
      </c>
      <c r="G119" s="168">
        <f>1274100+334580</f>
        <v>1608680</v>
      </c>
      <c r="H119" s="169"/>
    </row>
    <row r="120" spans="1:10" ht="20.25" customHeight="1" x14ac:dyDescent="0.5">
      <c r="A120" s="31">
        <f>4879700+2204350+1699200+1231880</f>
        <v>10015130</v>
      </c>
      <c r="B120" s="32" t="s">
        <v>16</v>
      </c>
      <c r="C120" s="168">
        <f t="shared" si="8"/>
        <v>1860145</v>
      </c>
      <c r="D120" s="169"/>
      <c r="E120" s="18" t="s">
        <v>5</v>
      </c>
      <c r="F120" s="30" t="s">
        <v>85</v>
      </c>
      <c r="G120" s="168">
        <f>616175+11750</f>
        <v>627925</v>
      </c>
      <c r="H120" s="169"/>
    </row>
    <row r="121" spans="1:10" ht="20.25" customHeight="1" x14ac:dyDescent="0.5">
      <c r="A121" s="31">
        <f>1580000+480000+231900+30000+350000</f>
        <v>2671900</v>
      </c>
      <c r="B121" s="32" t="s">
        <v>16</v>
      </c>
      <c r="C121" s="168">
        <f t="shared" si="8"/>
        <v>59420</v>
      </c>
      <c r="D121" s="169"/>
      <c r="E121" s="18" t="s">
        <v>6</v>
      </c>
      <c r="F121" s="30" t="s">
        <v>63</v>
      </c>
      <c r="G121" s="168">
        <v>19250</v>
      </c>
      <c r="H121" s="169"/>
    </row>
    <row r="122" spans="1:10" ht="20.25" customHeight="1" x14ac:dyDescent="0.5">
      <c r="A122" s="31">
        <f>5939000+100000+4740800+830000+894000+6547000+1215000+670000</f>
        <v>20935800</v>
      </c>
      <c r="B122" s="32" t="s">
        <v>16</v>
      </c>
      <c r="C122" s="168">
        <f t="shared" si="8"/>
        <v>4305270.41</v>
      </c>
      <c r="D122" s="169"/>
      <c r="E122" s="18" t="s">
        <v>7</v>
      </c>
      <c r="F122" s="30" t="s">
        <v>64</v>
      </c>
      <c r="G122" s="168">
        <f>1942088.5+2400+7000+6852+2800+6852+6852+6852</f>
        <v>1981696.5</v>
      </c>
      <c r="H122" s="169"/>
    </row>
    <row r="123" spans="1:10" ht="20.25" customHeight="1" x14ac:dyDescent="0.5">
      <c r="A123" s="31">
        <f>1205000+1508120+1280000+1550000</f>
        <v>5543120</v>
      </c>
      <c r="B123" s="32" t="s">
        <v>16</v>
      </c>
      <c r="C123" s="168">
        <f t="shared" si="8"/>
        <v>846834.3</v>
      </c>
      <c r="D123" s="169"/>
      <c r="E123" s="18" t="s">
        <v>8</v>
      </c>
      <c r="F123" s="30" t="s">
        <v>65</v>
      </c>
      <c r="G123" s="168">
        <v>412733</v>
      </c>
      <c r="H123" s="169"/>
    </row>
    <row r="124" spans="1:10" ht="20.25" customHeight="1" x14ac:dyDescent="0.5">
      <c r="A124" s="31">
        <f>530000+620000</f>
        <v>1150000</v>
      </c>
      <c r="B124" s="32" t="s">
        <v>16</v>
      </c>
      <c r="C124" s="168">
        <f t="shared" si="8"/>
        <v>364579.41</v>
      </c>
      <c r="D124" s="169"/>
      <c r="E124" s="18" t="s">
        <v>9</v>
      </c>
      <c r="F124" s="30" t="s">
        <v>66</v>
      </c>
      <c r="G124" s="168">
        <v>133578.04999999999</v>
      </c>
      <c r="H124" s="169"/>
    </row>
    <row r="125" spans="1:10" ht="20.25" customHeight="1" x14ac:dyDescent="0.5">
      <c r="A125" s="31">
        <f>1600000+1000000</f>
        <v>2600000</v>
      </c>
      <c r="B125" s="32"/>
      <c r="C125" s="168">
        <f t="shared" si="8"/>
        <v>1103543.93</v>
      </c>
      <c r="D125" s="169"/>
      <c r="E125" s="18" t="s">
        <v>13</v>
      </c>
      <c r="F125" s="30" t="s">
        <v>67</v>
      </c>
      <c r="G125" s="168">
        <v>798000</v>
      </c>
      <c r="H125" s="169"/>
    </row>
    <row r="126" spans="1:10" ht="20.25" customHeight="1" x14ac:dyDescent="0.5">
      <c r="A126" s="31">
        <f>1425900+187000+865500+2425000+10000+125000+2841000</f>
        <v>7879400</v>
      </c>
      <c r="B126" s="32" t="s">
        <v>16</v>
      </c>
      <c r="C126" s="168">
        <f t="shared" si="8"/>
        <v>108600</v>
      </c>
      <c r="D126" s="169"/>
      <c r="E126" s="18" t="s">
        <v>10</v>
      </c>
      <c r="F126" s="30" t="s">
        <v>68</v>
      </c>
      <c r="G126" s="168">
        <v>108600</v>
      </c>
      <c r="H126" s="169"/>
    </row>
    <row r="127" spans="1:10" ht="20.25" customHeight="1" x14ac:dyDescent="0.5">
      <c r="A127" s="7">
        <f>100000+100000+1627000+100000+7459470+500000</f>
        <v>9886470</v>
      </c>
      <c r="B127" s="32"/>
      <c r="C127" s="168">
        <f t="shared" si="8"/>
        <v>0</v>
      </c>
      <c r="D127" s="169"/>
      <c r="E127" s="18" t="s">
        <v>95</v>
      </c>
      <c r="F127" s="30" t="s">
        <v>69</v>
      </c>
      <c r="G127" s="168"/>
      <c r="H127" s="169"/>
    </row>
    <row r="128" spans="1:10" ht="20.25" customHeight="1" x14ac:dyDescent="0.5">
      <c r="A128" s="7"/>
      <c r="B128" s="32"/>
      <c r="C128" s="168">
        <f t="shared" si="8"/>
        <v>0</v>
      </c>
      <c r="D128" s="169"/>
      <c r="E128" s="18" t="s">
        <v>96</v>
      </c>
      <c r="F128" s="33" t="s">
        <v>93</v>
      </c>
      <c r="G128" s="168"/>
      <c r="H128" s="169"/>
    </row>
    <row r="129" spans="1:8" ht="20.25" customHeight="1" thickBot="1" x14ac:dyDescent="0.55000000000000004">
      <c r="A129" s="70">
        <f>SUM(A118:A128)</f>
        <v>96300000</v>
      </c>
      <c r="B129" s="71" t="s">
        <v>16</v>
      </c>
      <c r="C129" s="205">
        <f>SUM(C118:C128)</f>
        <v>13893491.050000001</v>
      </c>
      <c r="D129" s="206"/>
      <c r="E129" s="72"/>
      <c r="F129" s="30"/>
      <c r="G129" s="205">
        <f>SUM(G118:G128)</f>
        <v>7081536.5499999998</v>
      </c>
      <c r="H129" s="206"/>
    </row>
    <row r="130" spans="1:8" ht="20.25" customHeight="1" thickTop="1" x14ac:dyDescent="0.5">
      <c r="C130" s="176"/>
      <c r="D130" s="177"/>
      <c r="E130" s="62" t="s">
        <v>226</v>
      </c>
      <c r="F130" s="30"/>
      <c r="G130" s="176">
        <v>0</v>
      </c>
      <c r="H130" s="177"/>
    </row>
    <row r="131" spans="1:8" ht="20.25" customHeight="1" x14ac:dyDescent="0.5">
      <c r="C131" s="166">
        <f>C75+G131</f>
        <v>3505600</v>
      </c>
      <c r="D131" s="167"/>
      <c r="E131" s="34" t="s">
        <v>242</v>
      </c>
      <c r="F131" s="30" t="s">
        <v>169</v>
      </c>
      <c r="G131" s="166">
        <f>1169200+91700+1074200+1081100+89400</f>
        <v>3505600</v>
      </c>
      <c r="H131" s="167"/>
    </row>
    <row r="132" spans="1:8" ht="20.25" customHeight="1" x14ac:dyDescent="0.5">
      <c r="C132" s="166">
        <f>C76+G132</f>
        <v>477500</v>
      </c>
      <c r="D132" s="167"/>
      <c r="E132" s="34" t="s">
        <v>243</v>
      </c>
      <c r="F132" s="30" t="s">
        <v>169</v>
      </c>
      <c r="G132" s="166">
        <f>159000+155000+5500+153000+5000</f>
        <v>477500</v>
      </c>
      <c r="H132" s="167"/>
    </row>
    <row r="133" spans="1:8" ht="20.25" customHeight="1" x14ac:dyDescent="0.5">
      <c r="C133" s="166">
        <f t="shared" ref="C133:C155" si="9">C76+G133</f>
        <v>0</v>
      </c>
      <c r="D133" s="167"/>
      <c r="E133" s="39" t="s">
        <v>227</v>
      </c>
      <c r="F133" s="30"/>
      <c r="G133" s="168"/>
      <c r="H133" s="169"/>
    </row>
    <row r="134" spans="1:8" ht="20.25" customHeight="1" x14ac:dyDescent="0.5">
      <c r="A134" s="27">
        <f>C131+C132</f>
        <v>3983100</v>
      </c>
      <c r="C134" s="166">
        <f t="shared" si="9"/>
        <v>1990</v>
      </c>
      <c r="D134" s="167"/>
      <c r="E134" s="18" t="s">
        <v>12</v>
      </c>
      <c r="F134" s="30" t="s">
        <v>169</v>
      </c>
      <c r="G134" s="168">
        <v>1990</v>
      </c>
      <c r="H134" s="169"/>
    </row>
    <row r="135" spans="1:8" ht="20.25" customHeight="1" x14ac:dyDescent="0.5">
      <c r="C135" s="166">
        <f t="shared" si="9"/>
        <v>53200</v>
      </c>
      <c r="D135" s="167"/>
      <c r="E135" s="18" t="s">
        <v>4</v>
      </c>
      <c r="F135" s="30" t="s">
        <v>212</v>
      </c>
      <c r="G135" s="168">
        <v>53200</v>
      </c>
      <c r="H135" s="169"/>
    </row>
    <row r="136" spans="1:8" ht="20.25" customHeight="1" x14ac:dyDescent="0.5">
      <c r="A136" s="27">
        <f>C135+C136+C137+C138</f>
        <v>669010</v>
      </c>
      <c r="C136" s="166">
        <f t="shared" si="9"/>
        <v>61600</v>
      </c>
      <c r="D136" s="167"/>
      <c r="E136" s="18" t="s">
        <v>5</v>
      </c>
      <c r="F136" s="30" t="s">
        <v>212</v>
      </c>
      <c r="G136" s="168">
        <f>61600</f>
        <v>61600</v>
      </c>
      <c r="H136" s="169"/>
    </row>
    <row r="137" spans="1:8" ht="20.25" customHeight="1" x14ac:dyDescent="0.5">
      <c r="C137" s="166">
        <f t="shared" si="9"/>
        <v>65020</v>
      </c>
      <c r="D137" s="167"/>
      <c r="E137" s="18" t="s">
        <v>8</v>
      </c>
      <c r="F137" s="30" t="s">
        <v>174</v>
      </c>
      <c r="G137" s="168">
        <v>65020</v>
      </c>
      <c r="H137" s="169"/>
    </row>
    <row r="138" spans="1:8" ht="20.25" customHeight="1" x14ac:dyDescent="0.5">
      <c r="C138" s="166">
        <f t="shared" si="9"/>
        <v>489190</v>
      </c>
      <c r="D138" s="167"/>
      <c r="E138" s="18" t="s">
        <v>7</v>
      </c>
      <c r="F138" s="30" t="s">
        <v>173</v>
      </c>
      <c r="G138" s="168">
        <f>548210+6000-65020</f>
        <v>489190</v>
      </c>
      <c r="H138" s="169"/>
    </row>
    <row r="139" spans="1:8" ht="20.25" customHeight="1" x14ac:dyDescent="0.5">
      <c r="C139" s="166">
        <f t="shared" si="9"/>
        <v>0</v>
      </c>
      <c r="D139" s="167"/>
      <c r="E139" s="18" t="s">
        <v>6</v>
      </c>
      <c r="F139" s="30" t="s">
        <v>171</v>
      </c>
      <c r="G139" s="168"/>
      <c r="H139" s="169"/>
    </row>
    <row r="140" spans="1:8" ht="20.25" customHeight="1" x14ac:dyDescent="0.5">
      <c r="C140" s="166">
        <f t="shared" si="9"/>
        <v>0</v>
      </c>
      <c r="D140" s="167"/>
      <c r="E140" s="18" t="s">
        <v>10</v>
      </c>
      <c r="F140" s="30" t="s">
        <v>177</v>
      </c>
      <c r="G140" s="168"/>
      <c r="H140" s="169"/>
    </row>
    <row r="141" spans="1:8" ht="20.25" customHeight="1" x14ac:dyDescent="0.5">
      <c r="C141" s="166">
        <f t="shared" si="9"/>
        <v>0</v>
      </c>
      <c r="D141" s="167"/>
      <c r="E141" s="18" t="s">
        <v>95</v>
      </c>
      <c r="F141" s="30" t="s">
        <v>178</v>
      </c>
      <c r="G141" s="168"/>
      <c r="H141" s="169"/>
    </row>
    <row r="142" spans="1:8" ht="20.25" customHeight="1" x14ac:dyDescent="0.5">
      <c r="C142" s="166">
        <f t="shared" si="9"/>
        <v>1691596.87</v>
      </c>
      <c r="D142" s="167"/>
      <c r="E142" s="18" t="s">
        <v>111</v>
      </c>
      <c r="F142" s="30" t="s">
        <v>125</v>
      </c>
      <c r="G142" s="168"/>
      <c r="H142" s="169"/>
    </row>
    <row r="143" spans="1:8" ht="20.25" customHeight="1" x14ac:dyDescent="0.5">
      <c r="C143" s="166">
        <f t="shared" si="9"/>
        <v>0</v>
      </c>
      <c r="D143" s="167"/>
      <c r="E143" s="18" t="s">
        <v>165</v>
      </c>
      <c r="F143" s="30" t="s">
        <v>126</v>
      </c>
      <c r="G143" s="168"/>
      <c r="H143" s="169"/>
    </row>
    <row r="144" spans="1:8" ht="20.25" customHeight="1" x14ac:dyDescent="0.5">
      <c r="C144" s="166">
        <f t="shared" si="9"/>
        <v>2660046.87</v>
      </c>
      <c r="D144" s="167"/>
      <c r="E144" s="18" t="s">
        <v>36</v>
      </c>
      <c r="F144" s="30" t="s">
        <v>73</v>
      </c>
      <c r="G144" s="168">
        <f>'รายละเอียด(หมายเหตุ2)'!E96</f>
        <v>1365844.67</v>
      </c>
      <c r="H144" s="169"/>
    </row>
    <row r="145" spans="1:8" ht="20.25" customHeight="1" x14ac:dyDescent="0.5">
      <c r="C145" s="166">
        <f t="shared" si="9"/>
        <v>484958</v>
      </c>
      <c r="D145" s="167"/>
      <c r="E145" s="18" t="s">
        <v>33</v>
      </c>
      <c r="F145" s="30" t="s">
        <v>60</v>
      </c>
      <c r="G145" s="168">
        <f>16104+203950</f>
        <v>220054</v>
      </c>
      <c r="H145" s="169"/>
    </row>
    <row r="146" spans="1:8" ht="20.25" customHeight="1" x14ac:dyDescent="0.5">
      <c r="C146" s="166">
        <f t="shared" si="9"/>
        <v>3157620</v>
      </c>
      <c r="D146" s="167"/>
      <c r="E146" s="18" t="s">
        <v>55</v>
      </c>
      <c r="F146" s="30" t="s">
        <v>59</v>
      </c>
      <c r="G146" s="168">
        <v>41990</v>
      </c>
      <c r="H146" s="169"/>
    </row>
    <row r="147" spans="1:8" ht="20.25" customHeight="1" x14ac:dyDescent="0.5">
      <c r="C147" s="166">
        <f t="shared" si="9"/>
        <v>2572600</v>
      </c>
      <c r="D147" s="167"/>
      <c r="E147" s="18" t="s">
        <v>86</v>
      </c>
      <c r="F147" s="30" t="s">
        <v>74</v>
      </c>
      <c r="G147" s="168">
        <v>100000</v>
      </c>
      <c r="H147" s="169"/>
    </row>
    <row r="148" spans="1:8" ht="20.25" customHeight="1" x14ac:dyDescent="0.5">
      <c r="C148" s="166">
        <f t="shared" si="9"/>
        <v>0</v>
      </c>
      <c r="D148" s="167"/>
      <c r="E148" s="18" t="s">
        <v>91</v>
      </c>
      <c r="F148" s="30" t="s">
        <v>92</v>
      </c>
      <c r="G148" s="168"/>
      <c r="H148" s="169"/>
    </row>
    <row r="149" spans="1:8" ht="20.25" customHeight="1" x14ac:dyDescent="0.5">
      <c r="A149" s="36"/>
      <c r="C149" s="166">
        <f t="shared" si="9"/>
        <v>0</v>
      </c>
      <c r="D149" s="167"/>
      <c r="E149" s="18" t="s">
        <v>113</v>
      </c>
      <c r="F149" s="30" t="s">
        <v>144</v>
      </c>
      <c r="G149" s="168"/>
      <c r="H149" s="169"/>
    </row>
    <row r="150" spans="1:8" ht="20.25" customHeight="1" x14ac:dyDescent="0.5">
      <c r="A150" s="36"/>
      <c r="B150" s="80"/>
      <c r="C150" s="166">
        <f t="shared" si="9"/>
        <v>2226</v>
      </c>
      <c r="D150" s="167"/>
      <c r="E150" s="18" t="s">
        <v>186</v>
      </c>
      <c r="F150" s="30" t="s">
        <v>184</v>
      </c>
      <c r="G150" s="168"/>
      <c r="H150" s="169"/>
    </row>
    <row r="151" spans="1:8" ht="20.25" customHeight="1" x14ac:dyDescent="0.5">
      <c r="A151" s="36"/>
      <c r="B151" s="80"/>
      <c r="C151" s="166">
        <f t="shared" si="9"/>
        <v>0</v>
      </c>
      <c r="D151" s="167"/>
      <c r="E151" s="18" t="s">
        <v>210</v>
      </c>
      <c r="F151" s="30" t="s">
        <v>176</v>
      </c>
      <c r="G151" s="168"/>
      <c r="H151" s="169"/>
    </row>
    <row r="152" spans="1:8" ht="20.25" customHeight="1" x14ac:dyDescent="0.5">
      <c r="A152" s="36"/>
      <c r="B152" s="80"/>
      <c r="C152" s="166">
        <f t="shared" si="9"/>
        <v>0</v>
      </c>
      <c r="D152" s="167"/>
      <c r="E152" s="18" t="s">
        <v>205</v>
      </c>
      <c r="F152" s="30" t="s">
        <v>127</v>
      </c>
      <c r="G152" s="168"/>
      <c r="H152" s="169"/>
    </row>
    <row r="153" spans="1:8" ht="20.25" customHeight="1" x14ac:dyDescent="0.5">
      <c r="A153" s="36"/>
      <c r="B153" s="80"/>
      <c r="C153" s="166">
        <f t="shared" si="9"/>
        <v>0</v>
      </c>
      <c r="D153" s="167"/>
      <c r="E153" s="18" t="s">
        <v>200</v>
      </c>
      <c r="F153" s="30"/>
      <c r="G153" s="168"/>
      <c r="H153" s="169"/>
    </row>
    <row r="154" spans="1:8" ht="20.25" customHeight="1" x14ac:dyDescent="0.5">
      <c r="A154" s="36"/>
      <c r="B154" s="80"/>
      <c r="C154" s="166">
        <f t="shared" si="9"/>
        <v>0</v>
      </c>
      <c r="D154" s="167"/>
      <c r="E154" s="18" t="s">
        <v>209</v>
      </c>
      <c r="F154" s="30" t="s">
        <v>139</v>
      </c>
      <c r="G154" s="168"/>
      <c r="H154" s="169"/>
    </row>
    <row r="155" spans="1:8" ht="20.25" customHeight="1" x14ac:dyDescent="0.5">
      <c r="C155" s="166">
        <f t="shared" si="9"/>
        <v>460000</v>
      </c>
      <c r="D155" s="167"/>
      <c r="E155" s="18" t="s">
        <v>54</v>
      </c>
      <c r="F155" s="33" t="s">
        <v>72</v>
      </c>
      <c r="G155" s="168">
        <v>460000</v>
      </c>
      <c r="H155" s="169"/>
    </row>
    <row r="156" spans="1:8" ht="20.25" customHeight="1" x14ac:dyDescent="0.5">
      <c r="C156" s="172">
        <f>SUM(C131:C155)</f>
        <v>15683147.74</v>
      </c>
      <c r="D156" s="173"/>
      <c r="F156" s="35"/>
      <c r="G156" s="172">
        <f>SUM(G130:G155)</f>
        <v>6841988.6699999999</v>
      </c>
      <c r="H156" s="173"/>
    </row>
    <row r="157" spans="1:8" ht="20.25" customHeight="1" thickBot="1" x14ac:dyDescent="0.55000000000000004">
      <c r="C157" s="205">
        <f>C129+C156</f>
        <v>29576638.789999999</v>
      </c>
      <c r="D157" s="206"/>
      <c r="E157" s="73" t="s">
        <v>37</v>
      </c>
      <c r="G157" s="205">
        <f>G129+G156</f>
        <v>13923525.219999999</v>
      </c>
      <c r="H157" s="206"/>
    </row>
    <row r="158" spans="1:8" ht="20.25" customHeight="1" thickTop="1" x14ac:dyDescent="0.5">
      <c r="C158" s="75"/>
      <c r="D158" s="76"/>
      <c r="E158" s="73"/>
      <c r="G158" s="75"/>
      <c r="H158" s="76"/>
    </row>
    <row r="159" spans="1:8" ht="20.25" customHeight="1" x14ac:dyDescent="0.5">
      <c r="C159" s="166">
        <f>'งบรับจ่ายเงินสด  55'!C153:D153-'ใบต่อ  55'!C157:D157</f>
        <v>18127871.770000003</v>
      </c>
      <c r="D159" s="167"/>
      <c r="E159" s="73" t="s">
        <v>38</v>
      </c>
      <c r="G159" s="166">
        <f>'งบรับจ่ายเงินสด  55'!G153:H153-'ใบต่อ  55'!G157:H157</f>
        <v>6447713.370000001</v>
      </c>
      <c r="H159" s="167"/>
    </row>
    <row r="160" spans="1:8" ht="20.25" customHeight="1" x14ac:dyDescent="0.5">
      <c r="C160" s="168"/>
      <c r="D160" s="169"/>
      <c r="E160" s="73" t="s">
        <v>39</v>
      </c>
      <c r="G160" s="168"/>
      <c r="H160" s="169"/>
    </row>
    <row r="161" spans="1:10" ht="20.25" customHeight="1" x14ac:dyDescent="0.5">
      <c r="C161" s="168"/>
      <c r="D161" s="169"/>
      <c r="E161" s="73" t="s">
        <v>40</v>
      </c>
      <c r="G161" s="166"/>
      <c r="H161" s="167"/>
    </row>
    <row r="162" spans="1:10" ht="20.25" customHeight="1" thickBot="1" x14ac:dyDescent="0.55000000000000004">
      <c r="C162" s="205">
        <f>'งบรับจ่ายเงินสด  55'!C113:D113+'งบรับจ่ายเงินสด  55'!C153:D153-'ใบต่อ  55'!C157:D157</f>
        <v>92473867.979999989</v>
      </c>
      <c r="D162" s="206"/>
      <c r="E162" s="73" t="s">
        <v>41</v>
      </c>
      <c r="G162" s="205">
        <f>'งบรับจ่ายเงินสด  55'!G113:H113+'งบรับจ่ายเงินสด  55'!G153:H153-'ใบต่อ  55'!G157:H157</f>
        <v>92473867.979999989</v>
      </c>
      <c r="H162" s="206"/>
      <c r="I162" s="65">
        <f>C162-G162</f>
        <v>0</v>
      </c>
      <c r="J162" s="47">
        <f>'งบทดลอง(ใหม่)'!G114</f>
        <v>92473867.979999989</v>
      </c>
    </row>
    <row r="163" spans="1:10" ht="20.25" customHeight="1" thickTop="1" x14ac:dyDescent="0.5">
      <c r="C163" s="37" t="s">
        <v>166</v>
      </c>
      <c r="D163" s="37"/>
      <c r="E163" s="73"/>
      <c r="G163" s="74"/>
      <c r="H163" s="74"/>
    </row>
    <row r="164" spans="1:10" ht="20.25" customHeight="1" x14ac:dyDescent="0.5">
      <c r="A164" s="27" t="s">
        <v>119</v>
      </c>
      <c r="C164" s="37"/>
      <c r="D164" s="37"/>
      <c r="E164" s="119" t="s">
        <v>119</v>
      </c>
      <c r="F164" s="18" t="s">
        <v>122</v>
      </c>
      <c r="G164" s="74"/>
      <c r="H164" s="74"/>
      <c r="J164" s="27">
        <f>G162-J162</f>
        <v>0</v>
      </c>
    </row>
    <row r="165" spans="1:10" ht="20.25" customHeight="1" x14ac:dyDescent="0.5">
      <c r="A165" s="27" t="s">
        <v>120</v>
      </c>
      <c r="C165" s="37"/>
      <c r="D165" s="37"/>
      <c r="E165" s="119" t="s">
        <v>99</v>
      </c>
      <c r="F165" s="204" t="s">
        <v>148</v>
      </c>
      <c r="G165" s="204"/>
      <c r="H165" s="204"/>
    </row>
    <row r="166" spans="1:10" ht="20.25" customHeight="1" x14ac:dyDescent="0.5">
      <c r="A166" s="27" t="s">
        <v>121</v>
      </c>
      <c r="C166" s="37"/>
      <c r="D166" s="37"/>
      <c r="E166" s="119" t="s">
        <v>100</v>
      </c>
      <c r="F166" s="18" t="s">
        <v>190</v>
      </c>
      <c r="G166" s="74"/>
      <c r="H166" s="74"/>
    </row>
    <row r="167" spans="1:10" ht="20.25" customHeight="1" x14ac:dyDescent="0.5">
      <c r="C167" s="37"/>
      <c r="D167" s="37"/>
      <c r="E167" s="126"/>
      <c r="G167" s="74"/>
      <c r="H167" s="74"/>
    </row>
    <row r="168" spans="1:10" ht="20.25" customHeight="1" x14ac:dyDescent="0.5">
      <c r="C168" s="37"/>
      <c r="D168" s="37"/>
      <c r="E168" s="126"/>
      <c r="G168" s="74"/>
      <c r="H168" s="74"/>
    </row>
    <row r="169" spans="1:10" ht="20.25" customHeight="1" thickBot="1" x14ac:dyDescent="0.55000000000000004">
      <c r="F169" s="22" t="s">
        <v>248</v>
      </c>
      <c r="G169" s="22"/>
    </row>
    <row r="170" spans="1:10" ht="20.25" customHeight="1" thickTop="1" x14ac:dyDescent="0.5">
      <c r="A170" s="207" t="s">
        <v>18</v>
      </c>
      <c r="B170" s="208"/>
      <c r="C170" s="208"/>
      <c r="D170" s="209"/>
      <c r="E170" s="67"/>
      <c r="F170" s="207" t="s">
        <v>19</v>
      </c>
      <c r="G170" s="208"/>
      <c r="H170" s="209"/>
    </row>
    <row r="171" spans="1:10" ht="20.25" customHeight="1" x14ac:dyDescent="0.5">
      <c r="A171" s="198" t="s">
        <v>20</v>
      </c>
      <c r="B171" s="199"/>
      <c r="C171" s="198" t="s">
        <v>22</v>
      </c>
      <c r="D171" s="199"/>
      <c r="E171" s="200" t="s">
        <v>0</v>
      </c>
      <c r="F171" s="68" t="s">
        <v>23</v>
      </c>
      <c r="G171" s="198" t="s">
        <v>22</v>
      </c>
      <c r="H171" s="199"/>
    </row>
    <row r="172" spans="1:10" ht="20.25" customHeight="1" thickBot="1" x14ac:dyDescent="0.55000000000000004">
      <c r="A172" s="202" t="s">
        <v>21</v>
      </c>
      <c r="B172" s="203"/>
      <c r="C172" s="202" t="s">
        <v>21</v>
      </c>
      <c r="D172" s="203"/>
      <c r="E172" s="201"/>
      <c r="F172" s="69" t="s">
        <v>24</v>
      </c>
      <c r="G172" s="202" t="s">
        <v>21</v>
      </c>
      <c r="H172" s="203"/>
    </row>
    <row r="173" spans="1:10" ht="20.25" customHeight="1" thickTop="1" x14ac:dyDescent="0.5">
      <c r="A173" s="28"/>
      <c r="B173" s="29"/>
      <c r="C173" s="176"/>
      <c r="D173" s="177"/>
      <c r="E173" s="22" t="s">
        <v>35</v>
      </c>
      <c r="F173" s="30"/>
      <c r="G173" s="176"/>
      <c r="H173" s="177"/>
    </row>
    <row r="174" spans="1:10" ht="20.25" customHeight="1" x14ac:dyDescent="0.5">
      <c r="A174" s="31">
        <v>16918800</v>
      </c>
      <c r="B174" s="32" t="s">
        <v>16</v>
      </c>
      <c r="C174" s="168">
        <f>C118+G174</f>
        <v>1616404.15</v>
      </c>
      <c r="D174" s="169"/>
      <c r="E174" s="18" t="s">
        <v>12</v>
      </c>
      <c r="F174" s="30" t="s">
        <v>61</v>
      </c>
      <c r="G174" s="168">
        <v>193606.15</v>
      </c>
      <c r="H174" s="169"/>
      <c r="J174" s="27">
        <f>C174-1406798</f>
        <v>209606.14999999991</v>
      </c>
    </row>
    <row r="175" spans="1:10" ht="20.25" customHeight="1" x14ac:dyDescent="0.5">
      <c r="A175" s="31">
        <f>10324292+5692248+1314600+1368240</f>
        <v>18699380</v>
      </c>
      <c r="B175" s="32" t="s">
        <v>16</v>
      </c>
      <c r="C175" s="168">
        <f t="shared" ref="C175:C184" si="10">C119+G175</f>
        <v>5108436</v>
      </c>
      <c r="D175" s="169"/>
      <c r="E175" s="18" t="s">
        <v>4</v>
      </c>
      <c r="F175" s="30" t="s">
        <v>84</v>
      </c>
      <c r="G175" s="168">
        <v>1286136</v>
      </c>
      <c r="H175" s="169"/>
    </row>
    <row r="176" spans="1:10" ht="20.25" customHeight="1" x14ac:dyDescent="0.5">
      <c r="A176" s="31">
        <f>4879700+2204350+1699200+1231880</f>
        <v>10015130</v>
      </c>
      <c r="B176" s="32" t="s">
        <v>16</v>
      </c>
      <c r="C176" s="168">
        <f t="shared" si="10"/>
        <v>2476320</v>
      </c>
      <c r="D176" s="169"/>
      <c r="E176" s="18" t="s">
        <v>5</v>
      </c>
      <c r="F176" s="30" t="s">
        <v>85</v>
      </c>
      <c r="G176" s="168">
        <v>616175</v>
      </c>
      <c r="H176" s="169"/>
    </row>
    <row r="177" spans="1:9" ht="20.25" customHeight="1" x14ac:dyDescent="0.5">
      <c r="A177" s="31">
        <f>1580000+480000+231900+30000+350000</f>
        <v>2671900</v>
      </c>
      <c r="B177" s="32" t="s">
        <v>16</v>
      </c>
      <c r="C177" s="168">
        <f t="shared" si="10"/>
        <v>73920</v>
      </c>
      <c r="D177" s="169"/>
      <c r="E177" s="18" t="s">
        <v>6</v>
      </c>
      <c r="F177" s="30" t="s">
        <v>63</v>
      </c>
      <c r="G177" s="168">
        <v>14500</v>
      </c>
      <c r="H177" s="169"/>
    </row>
    <row r="178" spans="1:9" ht="20.25" customHeight="1" x14ac:dyDescent="0.5">
      <c r="A178" s="31">
        <f>5939000+100000+4740800+830000+894000+6547000+1215000+670000</f>
        <v>20935800</v>
      </c>
      <c r="B178" s="32" t="s">
        <v>16</v>
      </c>
      <c r="C178" s="168">
        <f t="shared" si="10"/>
        <v>5414742.4100000001</v>
      </c>
      <c r="D178" s="169"/>
      <c r="E178" s="18" t="s">
        <v>7</v>
      </c>
      <c r="F178" s="30" t="s">
        <v>64</v>
      </c>
      <c r="G178" s="168">
        <v>1109472</v>
      </c>
      <c r="H178" s="169"/>
    </row>
    <row r="179" spans="1:9" ht="20.25" customHeight="1" x14ac:dyDescent="0.5">
      <c r="A179" s="31">
        <f>1205000+1508120+1280000+1550000</f>
        <v>5543120</v>
      </c>
      <c r="B179" s="32" t="s">
        <v>16</v>
      </c>
      <c r="C179" s="168">
        <f t="shared" si="10"/>
        <v>1305806.3</v>
      </c>
      <c r="D179" s="169"/>
      <c r="E179" s="18" t="s">
        <v>8</v>
      </c>
      <c r="F179" s="30" t="s">
        <v>65</v>
      </c>
      <c r="G179" s="168">
        <v>458972</v>
      </c>
      <c r="H179" s="169"/>
    </row>
    <row r="180" spans="1:9" ht="20.25" customHeight="1" x14ac:dyDescent="0.5">
      <c r="A180" s="31">
        <f>530000+620000</f>
        <v>1150000</v>
      </c>
      <c r="B180" s="32" t="s">
        <v>16</v>
      </c>
      <c r="C180" s="168">
        <f t="shared" si="10"/>
        <v>502577.16</v>
      </c>
      <c r="D180" s="169"/>
      <c r="E180" s="18" t="s">
        <v>9</v>
      </c>
      <c r="F180" s="30" t="s">
        <v>66</v>
      </c>
      <c r="G180" s="168">
        <v>137997.75</v>
      </c>
      <c r="H180" s="169"/>
    </row>
    <row r="181" spans="1:9" ht="20.25" customHeight="1" x14ac:dyDescent="0.5">
      <c r="A181" s="31">
        <f>1600000+1000000</f>
        <v>2600000</v>
      </c>
      <c r="B181" s="32"/>
      <c r="C181" s="168">
        <f t="shared" si="10"/>
        <v>1103543.93</v>
      </c>
      <c r="D181" s="169"/>
      <c r="E181" s="18" t="s">
        <v>13</v>
      </c>
      <c r="F181" s="30" t="s">
        <v>67</v>
      </c>
      <c r="G181" s="168"/>
      <c r="H181" s="169"/>
    </row>
    <row r="182" spans="1:9" ht="20.25" customHeight="1" x14ac:dyDescent="0.5">
      <c r="A182" s="31">
        <f>1425900+187000+865500+2425000+10000+125000+2841000</f>
        <v>7879400</v>
      </c>
      <c r="B182" s="32" t="s">
        <v>16</v>
      </c>
      <c r="C182" s="168">
        <f t="shared" si="10"/>
        <v>2887600</v>
      </c>
      <c r="D182" s="169"/>
      <c r="E182" s="18" t="s">
        <v>10</v>
      </c>
      <c r="F182" s="30" t="s">
        <v>68</v>
      </c>
      <c r="G182" s="168">
        <v>2779000</v>
      </c>
      <c r="H182" s="169"/>
    </row>
    <row r="183" spans="1:9" ht="20.25" customHeight="1" x14ac:dyDescent="0.5">
      <c r="A183" s="7">
        <f>100000+100000+1627000+100000+7459470+500000</f>
        <v>9886470</v>
      </c>
      <c r="B183" s="32"/>
      <c r="C183" s="168">
        <f t="shared" si="10"/>
        <v>200000</v>
      </c>
      <c r="D183" s="169"/>
      <c r="E183" s="18" t="s">
        <v>95</v>
      </c>
      <c r="F183" s="30" t="s">
        <v>69</v>
      </c>
      <c r="G183" s="168">
        <v>200000</v>
      </c>
      <c r="H183" s="169"/>
    </row>
    <row r="184" spans="1:9" ht="20.25" customHeight="1" x14ac:dyDescent="0.5">
      <c r="A184" s="7"/>
      <c r="B184" s="32"/>
      <c r="C184" s="168">
        <f t="shared" si="10"/>
        <v>0</v>
      </c>
      <c r="D184" s="169"/>
      <c r="E184" s="18" t="s">
        <v>96</v>
      </c>
      <c r="F184" s="33" t="s">
        <v>93</v>
      </c>
      <c r="G184" s="168"/>
      <c r="H184" s="169"/>
    </row>
    <row r="185" spans="1:9" ht="20.25" customHeight="1" thickBot="1" x14ac:dyDescent="0.55000000000000004">
      <c r="A185" s="70">
        <f>SUM(A174:A184)</f>
        <v>96300000</v>
      </c>
      <c r="B185" s="71" t="s">
        <v>16</v>
      </c>
      <c r="C185" s="205">
        <f>SUM(C174:C184)</f>
        <v>20689349.950000003</v>
      </c>
      <c r="D185" s="206"/>
      <c r="E185" s="72"/>
      <c r="F185" s="30"/>
      <c r="G185" s="205">
        <f>SUM(G174:G184)</f>
        <v>6795858.9000000004</v>
      </c>
      <c r="H185" s="206"/>
    </row>
    <row r="186" spans="1:9" ht="20.25" customHeight="1" thickTop="1" x14ac:dyDescent="0.5">
      <c r="C186" s="176"/>
      <c r="D186" s="177"/>
      <c r="E186" s="62" t="s">
        <v>226</v>
      </c>
      <c r="F186" s="30"/>
      <c r="G186" s="176">
        <v>0</v>
      </c>
      <c r="H186" s="177"/>
    </row>
    <row r="187" spans="1:9" ht="20.25" customHeight="1" x14ac:dyDescent="0.5">
      <c r="C187" s="166">
        <f>C131+G187</f>
        <v>5834000</v>
      </c>
      <c r="D187" s="167"/>
      <c r="E187" s="34" t="s">
        <v>242</v>
      </c>
      <c r="F187" s="30" t="s">
        <v>169</v>
      </c>
      <c r="G187" s="166">
        <v>2328400</v>
      </c>
      <c r="H187" s="167"/>
    </row>
    <row r="188" spans="1:9" ht="20.25" customHeight="1" x14ac:dyDescent="0.5">
      <c r="C188" s="166">
        <f t="shared" ref="C188:C207" si="11">C132+G188</f>
        <v>891300</v>
      </c>
      <c r="D188" s="167"/>
      <c r="E188" s="34" t="s">
        <v>243</v>
      </c>
      <c r="F188" s="30" t="s">
        <v>169</v>
      </c>
      <c r="G188" s="166">
        <v>413800</v>
      </c>
      <c r="H188" s="167"/>
    </row>
    <row r="189" spans="1:9" ht="20.25" customHeight="1" x14ac:dyDescent="0.5">
      <c r="C189" s="166">
        <f t="shared" si="11"/>
        <v>0</v>
      </c>
      <c r="D189" s="167"/>
      <c r="E189" s="39" t="s">
        <v>227</v>
      </c>
      <c r="F189" s="30"/>
      <c r="G189" s="168"/>
      <c r="H189" s="169"/>
    </row>
    <row r="190" spans="1:9" ht="20.25" customHeight="1" x14ac:dyDescent="0.5">
      <c r="C190" s="166">
        <f t="shared" si="11"/>
        <v>4170</v>
      </c>
      <c r="D190" s="167"/>
      <c r="E190" s="18" t="s">
        <v>12</v>
      </c>
      <c r="F190" s="30" t="s">
        <v>169</v>
      </c>
      <c r="G190" s="168">
        <v>2180</v>
      </c>
      <c r="H190" s="169"/>
      <c r="I190" s="18">
        <f>1090*2</f>
        <v>2180</v>
      </c>
    </row>
    <row r="191" spans="1:9" ht="20.25" customHeight="1" x14ac:dyDescent="0.5">
      <c r="C191" s="166">
        <f t="shared" si="11"/>
        <v>57300</v>
      </c>
      <c r="D191" s="167"/>
      <c r="E191" s="18" t="s">
        <v>4</v>
      </c>
      <c r="F191" s="30" t="s">
        <v>212</v>
      </c>
      <c r="G191" s="168">
        <v>4100</v>
      </c>
      <c r="H191" s="169"/>
    </row>
    <row r="192" spans="1:9" ht="20.25" customHeight="1" x14ac:dyDescent="0.5">
      <c r="C192" s="166">
        <f t="shared" si="11"/>
        <v>62780</v>
      </c>
      <c r="D192" s="167"/>
      <c r="E192" s="18" t="s">
        <v>5</v>
      </c>
      <c r="F192" s="30" t="s">
        <v>212</v>
      </c>
      <c r="G192" s="168">
        <v>1180</v>
      </c>
      <c r="H192" s="169"/>
      <c r="I192" s="36">
        <f>2180-G192</f>
        <v>1000</v>
      </c>
    </row>
    <row r="193" spans="1:8" ht="20.25" customHeight="1" x14ac:dyDescent="0.5">
      <c r="C193" s="166">
        <f t="shared" si="11"/>
        <v>65020</v>
      </c>
      <c r="D193" s="167"/>
      <c r="E193" s="18" t="s">
        <v>8</v>
      </c>
      <c r="F193" s="30" t="s">
        <v>174</v>
      </c>
      <c r="G193" s="168"/>
      <c r="H193" s="169"/>
    </row>
    <row r="194" spans="1:8" ht="20.25" customHeight="1" x14ac:dyDescent="0.5">
      <c r="C194" s="166">
        <f t="shared" si="11"/>
        <v>535940</v>
      </c>
      <c r="D194" s="167"/>
      <c r="E194" s="18" t="s">
        <v>7</v>
      </c>
      <c r="F194" s="30" t="s">
        <v>173</v>
      </c>
      <c r="G194" s="168">
        <v>46750</v>
      </c>
      <c r="H194" s="169"/>
    </row>
    <row r="195" spans="1:8" ht="20.25" customHeight="1" x14ac:dyDescent="0.5">
      <c r="C195" s="166">
        <f t="shared" si="11"/>
        <v>0</v>
      </c>
      <c r="D195" s="167"/>
      <c r="E195" s="18" t="s">
        <v>6</v>
      </c>
      <c r="F195" s="30" t="s">
        <v>171</v>
      </c>
      <c r="G195" s="168"/>
      <c r="H195" s="169"/>
    </row>
    <row r="196" spans="1:8" ht="20.25" customHeight="1" x14ac:dyDescent="0.5">
      <c r="C196" s="166">
        <f t="shared" si="11"/>
        <v>0</v>
      </c>
      <c r="D196" s="167"/>
      <c r="E196" s="18" t="s">
        <v>10</v>
      </c>
      <c r="F196" s="30" t="s">
        <v>177</v>
      </c>
      <c r="G196" s="168"/>
      <c r="H196" s="169"/>
    </row>
    <row r="197" spans="1:8" ht="20.25" customHeight="1" x14ac:dyDescent="0.5">
      <c r="C197" s="166">
        <f t="shared" si="11"/>
        <v>2480000</v>
      </c>
      <c r="D197" s="167"/>
      <c r="E197" s="18" t="s">
        <v>95</v>
      </c>
      <c r="F197" s="30" t="s">
        <v>178</v>
      </c>
      <c r="G197" s="168">
        <v>2480000</v>
      </c>
      <c r="H197" s="169"/>
    </row>
    <row r="198" spans="1:8" ht="20.25" customHeight="1" x14ac:dyDescent="0.5">
      <c r="C198" s="166">
        <f t="shared" si="11"/>
        <v>1691596.87</v>
      </c>
      <c r="D198" s="167"/>
      <c r="E198" s="18" t="s">
        <v>111</v>
      </c>
      <c r="F198" s="30" t="s">
        <v>125</v>
      </c>
      <c r="G198" s="168"/>
      <c r="H198" s="169"/>
    </row>
    <row r="199" spans="1:8" ht="20.25" customHeight="1" x14ac:dyDescent="0.5">
      <c r="C199" s="166">
        <f t="shared" si="11"/>
        <v>0</v>
      </c>
      <c r="D199" s="167"/>
      <c r="E199" s="18" t="s">
        <v>165</v>
      </c>
      <c r="F199" s="30" t="s">
        <v>126</v>
      </c>
      <c r="G199" s="168"/>
      <c r="H199" s="169"/>
    </row>
    <row r="200" spans="1:8" ht="20.25" customHeight="1" x14ac:dyDescent="0.5">
      <c r="C200" s="166">
        <f t="shared" si="11"/>
        <v>3616144.48</v>
      </c>
      <c r="D200" s="167"/>
      <c r="E200" s="18" t="s">
        <v>36</v>
      </c>
      <c r="F200" s="30" t="s">
        <v>73</v>
      </c>
      <c r="G200" s="168">
        <f>'รายละเอียด(หมายเหตุ2)'!E131</f>
        <v>956097.61</v>
      </c>
      <c r="H200" s="169"/>
    </row>
    <row r="201" spans="1:8" ht="20.25" customHeight="1" x14ac:dyDescent="0.5">
      <c r="C201" s="166">
        <f t="shared" si="11"/>
        <v>493850</v>
      </c>
      <c r="D201" s="167"/>
      <c r="E201" s="18" t="s">
        <v>33</v>
      </c>
      <c r="F201" s="30" t="s">
        <v>60</v>
      </c>
      <c r="G201" s="168">
        <v>8892</v>
      </c>
      <c r="H201" s="169"/>
    </row>
    <row r="202" spans="1:8" ht="20.25" customHeight="1" x14ac:dyDescent="0.5">
      <c r="C202" s="166">
        <f>C146+G202</f>
        <v>3577720</v>
      </c>
      <c r="D202" s="167"/>
      <c r="E202" s="18" t="s">
        <v>55</v>
      </c>
      <c r="F202" s="30" t="s">
        <v>59</v>
      </c>
      <c r="G202" s="168">
        <v>420100</v>
      </c>
      <c r="H202" s="169"/>
    </row>
    <row r="203" spans="1:8" ht="20.25" customHeight="1" x14ac:dyDescent="0.5">
      <c r="C203" s="166">
        <f t="shared" si="11"/>
        <v>3476600</v>
      </c>
      <c r="D203" s="167"/>
      <c r="E203" s="18" t="s">
        <v>86</v>
      </c>
      <c r="F203" s="30" t="s">
        <v>74</v>
      </c>
      <c r="G203" s="168">
        <v>904000</v>
      </c>
      <c r="H203" s="169"/>
    </row>
    <row r="204" spans="1:8" ht="20.25" customHeight="1" x14ac:dyDescent="0.5">
      <c r="C204" s="166">
        <f t="shared" si="11"/>
        <v>1106210</v>
      </c>
      <c r="D204" s="167"/>
      <c r="E204" s="18" t="s">
        <v>91</v>
      </c>
      <c r="F204" s="30" t="s">
        <v>92</v>
      </c>
      <c r="G204" s="168">
        <v>1106210</v>
      </c>
      <c r="H204" s="169"/>
    </row>
    <row r="205" spans="1:8" ht="20.25" customHeight="1" x14ac:dyDescent="0.5">
      <c r="A205" s="36"/>
      <c r="C205" s="166">
        <f t="shared" si="11"/>
        <v>25000</v>
      </c>
      <c r="D205" s="167"/>
      <c r="E205" s="18" t="s">
        <v>113</v>
      </c>
      <c r="F205" s="30" t="s">
        <v>144</v>
      </c>
      <c r="G205" s="168">
        <v>25000</v>
      </c>
      <c r="H205" s="169"/>
    </row>
    <row r="206" spans="1:8" ht="20.25" customHeight="1" x14ac:dyDescent="0.5">
      <c r="A206" s="36"/>
      <c r="B206" s="80"/>
      <c r="C206" s="166">
        <f t="shared" si="11"/>
        <v>2226</v>
      </c>
      <c r="D206" s="167"/>
      <c r="E206" s="18" t="s">
        <v>186</v>
      </c>
      <c r="F206" s="30" t="s">
        <v>184</v>
      </c>
      <c r="G206" s="168"/>
      <c r="H206" s="169"/>
    </row>
    <row r="207" spans="1:8" ht="20.25" customHeight="1" x14ac:dyDescent="0.5">
      <c r="A207" s="36"/>
      <c r="B207" s="80"/>
      <c r="C207" s="166">
        <f t="shared" si="11"/>
        <v>0</v>
      </c>
      <c r="D207" s="167"/>
      <c r="E207" s="18" t="s">
        <v>210</v>
      </c>
      <c r="F207" s="30" t="s">
        <v>176</v>
      </c>
      <c r="G207" s="168"/>
      <c r="H207" s="169"/>
    </row>
    <row r="208" spans="1:8" ht="20.25" customHeight="1" x14ac:dyDescent="0.5">
      <c r="A208" s="36"/>
      <c r="B208" s="80"/>
      <c r="C208" s="166">
        <f t="shared" ref="C208:C210" si="12">C149+G208</f>
        <v>0</v>
      </c>
      <c r="D208" s="167"/>
      <c r="E208" s="18" t="s">
        <v>205</v>
      </c>
      <c r="F208" s="30" t="s">
        <v>127</v>
      </c>
      <c r="G208" s="168"/>
      <c r="H208" s="169"/>
    </row>
    <row r="209" spans="1:10" ht="20.25" customHeight="1" x14ac:dyDescent="0.5">
      <c r="A209" s="36"/>
      <c r="B209" s="80"/>
      <c r="C209" s="166"/>
      <c r="D209" s="167"/>
      <c r="E209" s="18" t="s">
        <v>200</v>
      </c>
      <c r="F209" s="30"/>
      <c r="G209" s="168"/>
      <c r="H209" s="169"/>
    </row>
    <row r="210" spans="1:10" ht="20.25" customHeight="1" x14ac:dyDescent="0.5">
      <c r="A210" s="36"/>
      <c r="B210" s="80"/>
      <c r="C210" s="166">
        <f t="shared" si="12"/>
        <v>0</v>
      </c>
      <c r="D210" s="167"/>
      <c r="E210" s="18" t="s">
        <v>209</v>
      </c>
      <c r="F210" s="30" t="s">
        <v>139</v>
      </c>
      <c r="G210" s="168"/>
      <c r="H210" s="169"/>
    </row>
    <row r="211" spans="1:10" ht="20.25" customHeight="1" x14ac:dyDescent="0.5">
      <c r="C211" s="166">
        <f>C152+G211+460000</f>
        <v>1559500</v>
      </c>
      <c r="D211" s="167"/>
      <c r="E211" s="18" t="s">
        <v>54</v>
      </c>
      <c r="F211" s="33" t="s">
        <v>72</v>
      </c>
      <c r="G211" s="168">
        <v>1099500</v>
      </c>
      <c r="H211" s="169"/>
    </row>
    <row r="212" spans="1:10" ht="20.25" customHeight="1" x14ac:dyDescent="0.5">
      <c r="C212" s="172">
        <f>SUM(C187:C211)</f>
        <v>25479357.350000001</v>
      </c>
      <c r="D212" s="173"/>
      <c r="F212" s="35"/>
      <c r="G212" s="172">
        <f>SUM(G186:G211)</f>
        <v>9796209.6099999994</v>
      </c>
      <c r="H212" s="173"/>
    </row>
    <row r="213" spans="1:10" ht="20.25" customHeight="1" thickBot="1" x14ac:dyDescent="0.55000000000000004">
      <c r="C213" s="205">
        <f>C185+C212</f>
        <v>46168707.300000004</v>
      </c>
      <c r="D213" s="206"/>
      <c r="E213" s="73" t="s">
        <v>37</v>
      </c>
      <c r="G213" s="205">
        <f>G185+G212</f>
        <v>16592068.51</v>
      </c>
      <c r="H213" s="206"/>
    </row>
    <row r="214" spans="1:10" ht="20.25" customHeight="1" thickTop="1" x14ac:dyDescent="0.5">
      <c r="C214" s="75"/>
      <c r="D214" s="76"/>
      <c r="E214" s="73"/>
      <c r="G214" s="75"/>
      <c r="H214" s="76"/>
    </row>
    <row r="215" spans="1:10" ht="20.25" customHeight="1" x14ac:dyDescent="0.5">
      <c r="C215" s="166">
        <f>'งบรับจ่ายเงินสด  55'!C205:D205-'ใบต่อ  55'!C213:D213</f>
        <v>17831585.059999995</v>
      </c>
      <c r="D215" s="167"/>
      <c r="E215" s="73" t="s">
        <v>38</v>
      </c>
      <c r="G215" s="166"/>
      <c r="H215" s="167"/>
    </row>
    <row r="216" spans="1:10" ht="20.25" customHeight="1" x14ac:dyDescent="0.5">
      <c r="C216" s="168"/>
      <c r="D216" s="169"/>
      <c r="E216" s="73" t="s">
        <v>39</v>
      </c>
      <c r="G216" s="168"/>
      <c r="H216" s="169"/>
    </row>
    <row r="217" spans="1:10" ht="20.25" customHeight="1" x14ac:dyDescent="0.5">
      <c r="C217" s="168"/>
      <c r="D217" s="169"/>
      <c r="E217" s="73" t="s">
        <v>40</v>
      </c>
      <c r="G217" s="166">
        <f>'งบรับจ่ายเงินสด  55'!G205:H205-'ใบต่อ  55'!G213:H213</f>
        <v>-296286.71000000089</v>
      </c>
      <c r="H217" s="167"/>
      <c r="J217" s="27">
        <f>92177581.34</f>
        <v>92177581.340000004</v>
      </c>
    </row>
    <row r="218" spans="1:10" ht="20.25" customHeight="1" thickBot="1" x14ac:dyDescent="0.55000000000000004">
      <c r="C218" s="205">
        <f>'งบรับจ่ายเงินสด  55'!C162:D162+'งบรับจ่ายเงินสด  55'!C205:D205-C213</f>
        <v>92177581.269999981</v>
      </c>
      <c r="D218" s="206"/>
      <c r="E218" s="73" t="s">
        <v>41</v>
      </c>
      <c r="G218" s="205">
        <f>'งบรับจ่ายเงินสด  55'!G162:H162+'งบรับจ่ายเงินสด  55'!G205:H205-'ใบต่อ  55'!G213:H213</f>
        <v>92177581.269999981</v>
      </c>
      <c r="H218" s="206"/>
      <c r="I218" s="65">
        <f>C218-G218</f>
        <v>0</v>
      </c>
      <c r="J218" s="47"/>
    </row>
    <row r="219" spans="1:10" ht="20.25" customHeight="1" thickTop="1" x14ac:dyDescent="0.5">
      <c r="C219" s="37" t="s">
        <v>166</v>
      </c>
      <c r="D219" s="37"/>
      <c r="E219" s="73"/>
      <c r="G219" s="74"/>
      <c r="H219" s="74"/>
    </row>
    <row r="220" spans="1:10" ht="20.25" customHeight="1" x14ac:dyDescent="0.5">
      <c r="A220" s="27" t="s">
        <v>119</v>
      </c>
      <c r="C220" s="37"/>
      <c r="D220" s="37"/>
      <c r="E220" s="126" t="s">
        <v>119</v>
      </c>
      <c r="F220" s="18" t="s">
        <v>122</v>
      </c>
      <c r="G220" s="74"/>
      <c r="H220" s="74"/>
      <c r="J220" s="27">
        <f>G218-J217</f>
        <v>-7.0000022649765015E-2</v>
      </c>
    </row>
    <row r="221" spans="1:10" ht="20.25" customHeight="1" x14ac:dyDescent="0.5">
      <c r="A221" s="27" t="s">
        <v>120</v>
      </c>
      <c r="C221" s="37"/>
      <c r="D221" s="37"/>
      <c r="E221" s="126" t="s">
        <v>263</v>
      </c>
      <c r="F221" s="204" t="s">
        <v>148</v>
      </c>
      <c r="G221" s="204"/>
      <c r="H221" s="204"/>
    </row>
    <row r="222" spans="1:10" ht="20.25" customHeight="1" x14ac:dyDescent="0.5">
      <c r="A222" s="27" t="s">
        <v>121</v>
      </c>
      <c r="C222" s="37"/>
      <c r="D222" s="37"/>
      <c r="E222" s="126" t="s">
        <v>264</v>
      </c>
      <c r="F222" s="18" t="s">
        <v>190</v>
      </c>
      <c r="G222" s="74"/>
      <c r="H222" s="74"/>
    </row>
    <row r="223" spans="1:10" ht="20.25" customHeight="1" x14ac:dyDescent="0.5">
      <c r="E223" s="18" t="s">
        <v>265</v>
      </c>
    </row>
    <row r="224" spans="1:10" ht="20.25" customHeight="1" thickBot="1" x14ac:dyDescent="0.55000000000000004">
      <c r="F224" s="22" t="s">
        <v>271</v>
      </c>
      <c r="G224" s="22"/>
    </row>
    <row r="225" spans="1:10" ht="20.25" customHeight="1" thickTop="1" x14ac:dyDescent="0.5">
      <c r="A225" s="207" t="s">
        <v>18</v>
      </c>
      <c r="B225" s="208"/>
      <c r="C225" s="208"/>
      <c r="D225" s="209"/>
      <c r="E225" s="67"/>
      <c r="F225" s="207" t="s">
        <v>19</v>
      </c>
      <c r="G225" s="208"/>
      <c r="H225" s="209"/>
    </row>
    <row r="226" spans="1:10" ht="20.25" customHeight="1" x14ac:dyDescent="0.5">
      <c r="A226" s="198" t="s">
        <v>20</v>
      </c>
      <c r="B226" s="199"/>
      <c r="C226" s="198" t="s">
        <v>22</v>
      </c>
      <c r="D226" s="199"/>
      <c r="E226" s="200" t="s">
        <v>0</v>
      </c>
      <c r="F226" s="68" t="s">
        <v>23</v>
      </c>
      <c r="G226" s="198" t="s">
        <v>22</v>
      </c>
      <c r="H226" s="199"/>
    </row>
    <row r="227" spans="1:10" ht="20.25" customHeight="1" thickBot="1" x14ac:dyDescent="0.55000000000000004">
      <c r="A227" s="202" t="s">
        <v>21</v>
      </c>
      <c r="B227" s="203"/>
      <c r="C227" s="202" t="s">
        <v>21</v>
      </c>
      <c r="D227" s="203"/>
      <c r="E227" s="201"/>
      <c r="F227" s="69" t="s">
        <v>24</v>
      </c>
      <c r="G227" s="202" t="s">
        <v>21</v>
      </c>
      <c r="H227" s="203"/>
    </row>
    <row r="228" spans="1:10" ht="20.25" customHeight="1" thickTop="1" x14ac:dyDescent="0.5">
      <c r="A228" s="28"/>
      <c r="B228" s="29"/>
      <c r="C228" s="176"/>
      <c r="D228" s="177"/>
      <c r="E228" s="22" t="s">
        <v>35</v>
      </c>
      <c r="F228" s="30"/>
      <c r="G228" s="176"/>
      <c r="H228" s="177"/>
    </row>
    <row r="229" spans="1:10" ht="20.25" customHeight="1" x14ac:dyDescent="0.5">
      <c r="A229" s="31">
        <v>16918800</v>
      </c>
      <c r="B229" s="32" t="s">
        <v>16</v>
      </c>
      <c r="C229" s="168">
        <f>C174+G229</f>
        <v>1616404.15</v>
      </c>
      <c r="D229" s="169"/>
      <c r="E229" s="18" t="s">
        <v>12</v>
      </c>
      <c r="F229" s="30" t="s">
        <v>61</v>
      </c>
      <c r="G229" s="168"/>
      <c r="H229" s="169"/>
      <c r="J229" s="27">
        <f>C229-1406798</f>
        <v>209606.14999999991</v>
      </c>
    </row>
    <row r="230" spans="1:10" ht="20.25" customHeight="1" x14ac:dyDescent="0.5">
      <c r="A230" s="31">
        <f>10324292+5692248+1314600+1368240</f>
        <v>18699380</v>
      </c>
      <c r="B230" s="32" t="s">
        <v>16</v>
      </c>
      <c r="C230" s="168">
        <f t="shared" ref="C230:C239" si="13">C175+G230</f>
        <v>6396356</v>
      </c>
      <c r="D230" s="169"/>
      <c r="E230" s="18" t="s">
        <v>4</v>
      </c>
      <c r="F230" s="30" t="s">
        <v>84</v>
      </c>
      <c r="G230" s="168">
        <v>1287920</v>
      </c>
      <c r="H230" s="169"/>
    </row>
    <row r="231" spans="1:10" ht="20.25" customHeight="1" x14ac:dyDescent="0.5">
      <c r="A231" s="31">
        <f>4879700+2204350+1699200+1231880</f>
        <v>10015130</v>
      </c>
      <c r="B231" s="32" t="s">
        <v>16</v>
      </c>
      <c r="C231" s="168">
        <f t="shared" si="13"/>
        <v>3092495</v>
      </c>
      <c r="D231" s="169"/>
      <c r="E231" s="18" t="s">
        <v>5</v>
      </c>
      <c r="F231" s="30" t="s">
        <v>85</v>
      </c>
      <c r="G231" s="168">
        <v>616175</v>
      </c>
      <c r="H231" s="169"/>
    </row>
    <row r="232" spans="1:10" ht="20.25" customHeight="1" x14ac:dyDescent="0.5">
      <c r="A232" s="31">
        <f>1580000+480000+231900+30000+350000</f>
        <v>2671900</v>
      </c>
      <c r="B232" s="32" t="s">
        <v>16</v>
      </c>
      <c r="C232" s="168">
        <f t="shared" si="13"/>
        <v>114920</v>
      </c>
      <c r="D232" s="169"/>
      <c r="E232" s="18" t="s">
        <v>6</v>
      </c>
      <c r="F232" s="30" t="s">
        <v>63</v>
      </c>
      <c r="G232" s="168">
        <v>41000</v>
      </c>
      <c r="H232" s="169"/>
    </row>
    <row r="233" spans="1:10" ht="20.25" customHeight="1" x14ac:dyDescent="0.5">
      <c r="A233" s="31">
        <f>5939000+100000+4740800+830000+894000+6547000+1215000+670000</f>
        <v>20935800</v>
      </c>
      <c r="B233" s="32" t="s">
        <v>16</v>
      </c>
      <c r="C233" s="168">
        <f t="shared" si="13"/>
        <v>7233057.4100000001</v>
      </c>
      <c r="D233" s="169"/>
      <c r="E233" s="18" t="s">
        <v>7</v>
      </c>
      <c r="F233" s="30" t="s">
        <v>64</v>
      </c>
      <c r="G233" s="168">
        <f>1315315+503000</f>
        <v>1818315</v>
      </c>
      <c r="H233" s="169"/>
    </row>
    <row r="234" spans="1:10" ht="20.25" customHeight="1" x14ac:dyDescent="0.5">
      <c r="A234" s="31">
        <f>1205000+1508120+1280000+1550000</f>
        <v>5543120</v>
      </c>
      <c r="B234" s="32" t="s">
        <v>16</v>
      </c>
      <c r="C234" s="168">
        <f t="shared" si="13"/>
        <v>1570612.3</v>
      </c>
      <c r="D234" s="169"/>
      <c r="E234" s="18" t="s">
        <v>8</v>
      </c>
      <c r="F234" s="30" t="s">
        <v>65</v>
      </c>
      <c r="G234" s="168">
        <v>264806</v>
      </c>
      <c r="H234" s="169"/>
    </row>
    <row r="235" spans="1:10" ht="20.25" customHeight="1" x14ac:dyDescent="0.5">
      <c r="A235" s="31">
        <f>530000+620000</f>
        <v>1150000</v>
      </c>
      <c r="B235" s="32" t="s">
        <v>16</v>
      </c>
      <c r="C235" s="168">
        <f t="shared" si="13"/>
        <v>596594.29999999993</v>
      </c>
      <c r="D235" s="169"/>
      <c r="E235" s="18" t="s">
        <v>9</v>
      </c>
      <c r="F235" s="30" t="s">
        <v>66</v>
      </c>
      <c r="G235" s="168">
        <v>94017.14</v>
      </c>
      <c r="H235" s="169"/>
    </row>
    <row r="236" spans="1:10" ht="20.25" customHeight="1" x14ac:dyDescent="0.5">
      <c r="A236" s="31">
        <f>1600000+1000000</f>
        <v>2600000</v>
      </c>
      <c r="B236" s="32"/>
      <c r="C236" s="168">
        <f t="shared" si="13"/>
        <v>1103543.93</v>
      </c>
      <c r="D236" s="169"/>
      <c r="E236" s="18" t="s">
        <v>13</v>
      </c>
      <c r="F236" s="30" t="s">
        <v>67</v>
      </c>
      <c r="G236" s="168"/>
      <c r="H236" s="169"/>
    </row>
    <row r="237" spans="1:10" ht="20.25" customHeight="1" x14ac:dyDescent="0.5">
      <c r="A237" s="31">
        <f>1425900+187000+865500+2425000+10000+125000+2841000</f>
        <v>7879400</v>
      </c>
      <c r="B237" s="32" t="s">
        <v>16</v>
      </c>
      <c r="C237" s="168">
        <f t="shared" si="13"/>
        <v>3137600</v>
      </c>
      <c r="D237" s="169"/>
      <c r="E237" s="18" t="s">
        <v>10</v>
      </c>
      <c r="F237" s="30" t="s">
        <v>68</v>
      </c>
      <c r="G237" s="168">
        <v>250000</v>
      </c>
      <c r="H237" s="169"/>
    </row>
    <row r="238" spans="1:10" ht="20.25" customHeight="1" x14ac:dyDescent="0.5">
      <c r="A238" s="7">
        <f>100000+100000+1627000+100000+7459470+500000</f>
        <v>9886470</v>
      </c>
      <c r="B238" s="32"/>
      <c r="C238" s="168">
        <f t="shared" si="13"/>
        <v>200000</v>
      </c>
      <c r="D238" s="169"/>
      <c r="E238" s="18" t="s">
        <v>95</v>
      </c>
      <c r="F238" s="30" t="s">
        <v>69</v>
      </c>
      <c r="G238" s="168"/>
      <c r="H238" s="169"/>
    </row>
    <row r="239" spans="1:10" ht="20.25" customHeight="1" x14ac:dyDescent="0.5">
      <c r="A239" s="7"/>
      <c r="B239" s="32"/>
      <c r="C239" s="168">
        <f t="shared" si="13"/>
        <v>0</v>
      </c>
      <c r="D239" s="169"/>
      <c r="E239" s="18" t="s">
        <v>96</v>
      </c>
      <c r="F239" s="33" t="s">
        <v>93</v>
      </c>
      <c r="G239" s="168"/>
      <c r="H239" s="169"/>
    </row>
    <row r="240" spans="1:10" ht="20.25" customHeight="1" thickBot="1" x14ac:dyDescent="0.55000000000000004">
      <c r="A240" s="70">
        <f>SUM(A229:A239)</f>
        <v>96300000</v>
      </c>
      <c r="B240" s="71" t="s">
        <v>16</v>
      </c>
      <c r="C240" s="205">
        <f>SUM(C229:C239)</f>
        <v>25061583.090000004</v>
      </c>
      <c r="D240" s="206"/>
      <c r="E240" s="72"/>
      <c r="F240" s="30"/>
      <c r="G240" s="205">
        <f>SUM(G229:G239)</f>
        <v>4372233.1400000006</v>
      </c>
      <c r="H240" s="206"/>
    </row>
    <row r="241" spans="1:9" ht="20.25" customHeight="1" thickTop="1" x14ac:dyDescent="0.5">
      <c r="C241" s="176"/>
      <c r="D241" s="177"/>
      <c r="E241" s="62" t="s">
        <v>226</v>
      </c>
      <c r="F241" s="30"/>
      <c r="G241" s="176">
        <v>0</v>
      </c>
      <c r="H241" s="177"/>
    </row>
    <row r="242" spans="1:9" ht="20.25" customHeight="1" x14ac:dyDescent="0.5">
      <c r="A242" s="27">
        <f>C185+G240</f>
        <v>25061583.090000004</v>
      </c>
      <c r="C242" s="168">
        <f>C187+G242</f>
        <v>5834000</v>
      </c>
      <c r="D242" s="169"/>
      <c r="E242" s="34" t="s">
        <v>242</v>
      </c>
      <c r="F242" s="30" t="s">
        <v>169</v>
      </c>
      <c r="G242" s="166"/>
      <c r="H242" s="167"/>
    </row>
    <row r="243" spans="1:9" ht="20.25" customHeight="1" x14ac:dyDescent="0.5">
      <c r="C243" s="168">
        <f t="shared" ref="C243:C254" si="14">C188</f>
        <v>891300</v>
      </c>
      <c r="D243" s="169"/>
      <c r="E243" s="34" t="s">
        <v>243</v>
      </c>
      <c r="F243" s="30" t="s">
        <v>169</v>
      </c>
      <c r="G243" s="166"/>
      <c r="H243" s="167"/>
    </row>
    <row r="244" spans="1:9" ht="20.25" customHeight="1" x14ac:dyDescent="0.5">
      <c r="C244" s="168">
        <f t="shared" si="14"/>
        <v>0</v>
      </c>
      <c r="D244" s="169"/>
      <c r="E244" s="39" t="s">
        <v>227</v>
      </c>
      <c r="F244" s="30"/>
      <c r="G244" s="168"/>
      <c r="H244" s="169"/>
    </row>
    <row r="245" spans="1:9" ht="20.25" customHeight="1" x14ac:dyDescent="0.5">
      <c r="C245" s="168">
        <f t="shared" si="14"/>
        <v>4170</v>
      </c>
      <c r="D245" s="169"/>
      <c r="E245" s="18" t="s">
        <v>12</v>
      </c>
      <c r="F245" s="30" t="s">
        <v>169</v>
      </c>
      <c r="G245" s="168"/>
      <c r="H245" s="169"/>
      <c r="I245" s="18">
        <f>1090*2</f>
        <v>2180</v>
      </c>
    </row>
    <row r="246" spans="1:9" ht="20.25" customHeight="1" x14ac:dyDescent="0.5">
      <c r="C246" s="168">
        <f>C191+G246</f>
        <v>76400</v>
      </c>
      <c r="D246" s="169"/>
      <c r="E246" s="18" t="s">
        <v>4</v>
      </c>
      <c r="F246" s="30" t="s">
        <v>212</v>
      </c>
      <c r="G246" s="168">
        <v>19100</v>
      </c>
      <c r="H246" s="169"/>
    </row>
    <row r="247" spans="1:9" ht="20.25" customHeight="1" x14ac:dyDescent="0.5">
      <c r="C247" s="168">
        <f t="shared" si="14"/>
        <v>62780</v>
      </c>
      <c r="D247" s="169"/>
      <c r="E247" s="18" t="s">
        <v>5</v>
      </c>
      <c r="F247" s="30" t="s">
        <v>212</v>
      </c>
      <c r="G247" s="168"/>
      <c r="H247" s="169"/>
      <c r="I247" s="36">
        <f>2180-G247</f>
        <v>2180</v>
      </c>
    </row>
    <row r="248" spans="1:9" ht="20.25" customHeight="1" x14ac:dyDescent="0.5">
      <c r="C248" s="168">
        <f t="shared" si="14"/>
        <v>65020</v>
      </c>
      <c r="D248" s="169"/>
      <c r="E248" s="18" t="s">
        <v>8</v>
      </c>
      <c r="F248" s="30" t="s">
        <v>174</v>
      </c>
      <c r="G248" s="168"/>
      <c r="H248" s="169"/>
    </row>
    <row r="249" spans="1:9" ht="20.25" customHeight="1" x14ac:dyDescent="0.5">
      <c r="C249" s="168">
        <f t="shared" si="14"/>
        <v>535940</v>
      </c>
      <c r="D249" s="169"/>
      <c r="E249" s="18" t="s">
        <v>7</v>
      </c>
      <c r="F249" s="30" t="s">
        <v>173</v>
      </c>
      <c r="G249" s="168"/>
      <c r="H249" s="169"/>
    </row>
    <row r="250" spans="1:9" ht="20.25" customHeight="1" x14ac:dyDescent="0.5">
      <c r="C250" s="168">
        <f t="shared" si="14"/>
        <v>0</v>
      </c>
      <c r="D250" s="169"/>
      <c r="E250" s="18" t="s">
        <v>6</v>
      </c>
      <c r="F250" s="30" t="s">
        <v>171</v>
      </c>
      <c r="G250" s="168"/>
      <c r="H250" s="169"/>
    </row>
    <row r="251" spans="1:9" ht="20.25" customHeight="1" x14ac:dyDescent="0.5">
      <c r="C251" s="168">
        <f t="shared" si="14"/>
        <v>0</v>
      </c>
      <c r="D251" s="169"/>
      <c r="E251" s="18" t="s">
        <v>10</v>
      </c>
      <c r="F251" s="30" t="s">
        <v>177</v>
      </c>
      <c r="G251" s="168"/>
      <c r="H251" s="169"/>
    </row>
    <row r="252" spans="1:9" ht="20.25" customHeight="1" x14ac:dyDescent="0.5">
      <c r="C252" s="168">
        <f t="shared" si="14"/>
        <v>2480000</v>
      </c>
      <c r="D252" s="169"/>
      <c r="E252" s="18" t="s">
        <v>95</v>
      </c>
      <c r="F252" s="30" t="s">
        <v>178</v>
      </c>
      <c r="G252" s="168"/>
      <c r="H252" s="169"/>
    </row>
    <row r="253" spans="1:9" ht="20.25" customHeight="1" x14ac:dyDescent="0.5">
      <c r="C253" s="168">
        <f t="shared" si="14"/>
        <v>1691596.87</v>
      </c>
      <c r="D253" s="169"/>
      <c r="E253" s="18" t="s">
        <v>111</v>
      </c>
      <c r="F253" s="30" t="s">
        <v>125</v>
      </c>
      <c r="G253" s="168"/>
      <c r="H253" s="169"/>
    </row>
    <row r="254" spans="1:9" ht="20.25" customHeight="1" x14ac:dyDescent="0.5">
      <c r="C254" s="168">
        <f t="shared" si="14"/>
        <v>0</v>
      </c>
      <c r="D254" s="169"/>
      <c r="E254" s="18" t="s">
        <v>165</v>
      </c>
      <c r="F254" s="30" t="s">
        <v>126</v>
      </c>
      <c r="G254" s="168"/>
      <c r="H254" s="169"/>
    </row>
    <row r="255" spans="1:9" ht="20.25" customHeight="1" x14ac:dyDescent="0.5">
      <c r="C255" s="168">
        <f>C200+G255</f>
        <v>5046455.37</v>
      </c>
      <c r="D255" s="169"/>
      <c r="E255" s="18" t="s">
        <v>36</v>
      </c>
      <c r="F255" s="30" t="s">
        <v>73</v>
      </c>
      <c r="G255" s="168">
        <f>'รายละเอียด(หมายเหตุ2)'!E171</f>
        <v>1430310.89</v>
      </c>
      <c r="H255" s="169"/>
    </row>
    <row r="256" spans="1:9" ht="20.25" customHeight="1" x14ac:dyDescent="0.5">
      <c r="C256" s="168">
        <f t="shared" ref="C256:C266" si="15">C201+G256</f>
        <v>497736</v>
      </c>
      <c r="D256" s="169"/>
      <c r="E256" s="18" t="s">
        <v>33</v>
      </c>
      <c r="F256" s="30" t="s">
        <v>60</v>
      </c>
      <c r="G256" s="168">
        <v>3886</v>
      </c>
      <c r="H256" s="169"/>
    </row>
    <row r="257" spans="1:10" ht="20.25" customHeight="1" x14ac:dyDescent="0.5">
      <c r="C257" s="168">
        <f t="shared" si="15"/>
        <v>3599520</v>
      </c>
      <c r="D257" s="169"/>
      <c r="E257" s="18" t="s">
        <v>55</v>
      </c>
      <c r="F257" s="30" t="s">
        <v>59</v>
      </c>
      <c r="G257" s="168">
        <v>21800</v>
      </c>
      <c r="H257" s="169"/>
    </row>
    <row r="258" spans="1:10" ht="20.25" customHeight="1" x14ac:dyDescent="0.5">
      <c r="C258" s="168">
        <f t="shared" si="15"/>
        <v>3476600</v>
      </c>
      <c r="D258" s="169"/>
      <c r="E258" s="18" t="s">
        <v>86</v>
      </c>
      <c r="F258" s="30" t="s">
        <v>74</v>
      </c>
      <c r="G258" s="168"/>
      <c r="H258" s="169"/>
    </row>
    <row r="259" spans="1:10" ht="20.25" customHeight="1" x14ac:dyDescent="0.5">
      <c r="C259" s="168">
        <f t="shared" si="15"/>
        <v>1106210</v>
      </c>
      <c r="D259" s="169"/>
      <c r="E259" s="18" t="s">
        <v>91</v>
      </c>
      <c r="F259" s="30" t="s">
        <v>92</v>
      </c>
      <c r="G259" s="168"/>
      <c r="H259" s="169"/>
    </row>
    <row r="260" spans="1:10" ht="20.25" customHeight="1" x14ac:dyDescent="0.5">
      <c r="A260" s="36"/>
      <c r="C260" s="168">
        <f t="shared" si="15"/>
        <v>25000</v>
      </c>
      <c r="D260" s="169"/>
      <c r="E260" s="18" t="s">
        <v>113</v>
      </c>
      <c r="F260" s="30" t="s">
        <v>144</v>
      </c>
      <c r="G260" s="168"/>
      <c r="H260" s="169"/>
    </row>
    <row r="261" spans="1:10" ht="20.25" customHeight="1" x14ac:dyDescent="0.5">
      <c r="A261" s="36"/>
      <c r="B261" s="80"/>
      <c r="C261" s="168">
        <f t="shared" si="15"/>
        <v>2226</v>
      </c>
      <c r="D261" s="169"/>
      <c r="E261" s="18" t="s">
        <v>186</v>
      </c>
      <c r="F261" s="30" t="s">
        <v>184</v>
      </c>
      <c r="G261" s="168"/>
      <c r="H261" s="169"/>
    </row>
    <row r="262" spans="1:10" ht="20.25" customHeight="1" x14ac:dyDescent="0.5">
      <c r="A262" s="36"/>
      <c r="B262" s="80"/>
      <c r="C262" s="168">
        <f t="shared" si="15"/>
        <v>0</v>
      </c>
      <c r="D262" s="169"/>
      <c r="E262" s="18" t="s">
        <v>210</v>
      </c>
      <c r="F262" s="30" t="s">
        <v>176</v>
      </c>
      <c r="G262" s="168"/>
      <c r="H262" s="169"/>
    </row>
    <row r="263" spans="1:10" ht="20.25" customHeight="1" x14ac:dyDescent="0.5">
      <c r="A263" s="36"/>
      <c r="B263" s="80"/>
      <c r="C263" s="168">
        <f t="shared" si="15"/>
        <v>0</v>
      </c>
      <c r="D263" s="169"/>
      <c r="E263" s="18" t="s">
        <v>205</v>
      </c>
      <c r="F263" s="30" t="s">
        <v>127</v>
      </c>
      <c r="G263" s="168"/>
      <c r="H263" s="169"/>
    </row>
    <row r="264" spans="1:10" ht="20.25" customHeight="1" x14ac:dyDescent="0.5">
      <c r="A264" s="36"/>
      <c r="B264" s="80"/>
      <c r="C264" s="168">
        <f t="shared" si="15"/>
        <v>0</v>
      </c>
      <c r="D264" s="169"/>
      <c r="E264" s="18" t="s">
        <v>200</v>
      </c>
      <c r="F264" s="30"/>
      <c r="G264" s="168"/>
      <c r="H264" s="169"/>
    </row>
    <row r="265" spans="1:10" ht="20.25" customHeight="1" x14ac:dyDescent="0.5">
      <c r="A265" s="36"/>
      <c r="B265" s="80"/>
      <c r="C265" s="168">
        <f t="shared" si="15"/>
        <v>0</v>
      </c>
      <c r="D265" s="169"/>
      <c r="E265" s="18" t="s">
        <v>209</v>
      </c>
      <c r="F265" s="30" t="s">
        <v>139</v>
      </c>
      <c r="G265" s="168"/>
      <c r="H265" s="169"/>
    </row>
    <row r="266" spans="1:10" ht="20.25" customHeight="1" x14ac:dyDescent="0.5">
      <c r="C266" s="168">
        <f t="shared" si="15"/>
        <v>1959500</v>
      </c>
      <c r="D266" s="169"/>
      <c r="E266" s="18" t="s">
        <v>54</v>
      </c>
      <c r="F266" s="33" t="s">
        <v>72</v>
      </c>
      <c r="G266" s="168">
        <v>400000</v>
      </c>
      <c r="H266" s="169"/>
    </row>
    <row r="267" spans="1:10" ht="20.25" customHeight="1" x14ac:dyDescent="0.5">
      <c r="C267" s="172">
        <f>SUM(C242:C266)</f>
        <v>27354454.240000002</v>
      </c>
      <c r="D267" s="173"/>
      <c r="F267" s="35"/>
      <c r="G267" s="172">
        <f>SUM(G241:G266)</f>
        <v>1875096.89</v>
      </c>
      <c r="H267" s="173"/>
    </row>
    <row r="268" spans="1:10" ht="20.25" customHeight="1" thickBot="1" x14ac:dyDescent="0.55000000000000004">
      <c r="C268" s="205">
        <f>C240+C267</f>
        <v>52416037.330000006</v>
      </c>
      <c r="D268" s="206"/>
      <c r="E268" s="73" t="s">
        <v>37</v>
      </c>
      <c r="G268" s="205">
        <f>G240+G267</f>
        <v>6247330.0300000003</v>
      </c>
      <c r="H268" s="206"/>
    </row>
    <row r="269" spans="1:10" ht="20.25" customHeight="1" thickTop="1" x14ac:dyDescent="0.5">
      <c r="C269" s="75"/>
      <c r="D269" s="76"/>
      <c r="E269" s="73"/>
      <c r="G269" s="75"/>
      <c r="H269" s="76"/>
    </row>
    <row r="270" spans="1:10" ht="20.25" customHeight="1" x14ac:dyDescent="0.5">
      <c r="C270" s="166">
        <f>'งบรับจ่ายเงินสด  55'!C257:D257-'ใบต่อ  55'!C268:D268</f>
        <v>20987361.469999991</v>
      </c>
      <c r="D270" s="167"/>
      <c r="E270" s="73" t="s">
        <v>38</v>
      </c>
      <c r="G270" s="166">
        <f>'งบรับจ่ายเงินสด  55'!G257:H257-'ใบต่อ  55'!G268:H268</f>
        <v>3155776.4100000011</v>
      </c>
      <c r="H270" s="167"/>
    </row>
    <row r="271" spans="1:10" ht="20.25" customHeight="1" x14ac:dyDescent="0.5">
      <c r="C271" s="168"/>
      <c r="D271" s="169"/>
      <c r="E271" s="73" t="s">
        <v>39</v>
      </c>
      <c r="G271" s="168"/>
      <c r="H271" s="169"/>
    </row>
    <row r="272" spans="1:10" ht="20.25" customHeight="1" x14ac:dyDescent="0.5">
      <c r="C272" s="168"/>
      <c r="D272" s="169"/>
      <c r="E272" s="73" t="s">
        <v>40</v>
      </c>
      <c r="G272" s="166"/>
      <c r="H272" s="167"/>
      <c r="J272" s="27">
        <f>92177581.34</f>
        <v>92177581.340000004</v>
      </c>
    </row>
    <row r="273" spans="1:10" ht="20.25" customHeight="1" thickBot="1" x14ac:dyDescent="0.55000000000000004">
      <c r="C273" s="205">
        <f>'งบรับจ่ายเงินสด  55'!C214:D214+'งบรับจ่ายเงินสด  55'!C257:D257-'ใบต่อ  55'!C268:D268</f>
        <v>95333357.679999977</v>
      </c>
      <c r="D273" s="206"/>
      <c r="E273" s="73" t="s">
        <v>41</v>
      </c>
      <c r="G273" s="205">
        <f>'งบรับจ่ายเงินสด  55'!G214:H214+'งบรับจ่ายเงินสด  55'!G257:H257-'ใบต่อ  55'!G268:H268</f>
        <v>95333357.679999977</v>
      </c>
      <c r="H273" s="206"/>
      <c r="I273" s="65">
        <f>C273-G273</f>
        <v>0</v>
      </c>
      <c r="J273" s="47"/>
    </row>
    <row r="274" spans="1:10" ht="20.25" customHeight="1" thickTop="1" x14ac:dyDescent="0.5">
      <c r="C274" s="37" t="s">
        <v>166</v>
      </c>
      <c r="D274" s="37"/>
      <c r="E274" s="73"/>
      <c r="G274" s="74"/>
      <c r="H274" s="74"/>
    </row>
    <row r="275" spans="1:10" ht="20.25" customHeight="1" x14ac:dyDescent="0.5">
      <c r="A275" s="27" t="s">
        <v>119</v>
      </c>
      <c r="C275" s="37"/>
      <c r="D275" s="37"/>
      <c r="E275" s="135" t="s">
        <v>119</v>
      </c>
      <c r="F275" s="18" t="s">
        <v>122</v>
      </c>
      <c r="G275" s="74"/>
      <c r="H275" s="74"/>
      <c r="J275" s="27">
        <f>G273-J272</f>
        <v>3155776.3399999738</v>
      </c>
    </row>
    <row r="276" spans="1:10" ht="20.25" customHeight="1" x14ac:dyDescent="0.5">
      <c r="A276" s="27" t="s">
        <v>120</v>
      </c>
      <c r="C276" s="37"/>
      <c r="D276" s="37"/>
      <c r="E276" s="135" t="s">
        <v>263</v>
      </c>
      <c r="F276" s="204" t="s">
        <v>148</v>
      </c>
      <c r="G276" s="204"/>
      <c r="H276" s="204"/>
    </row>
    <row r="277" spans="1:10" ht="20.25" customHeight="1" x14ac:dyDescent="0.5">
      <c r="A277" s="27" t="s">
        <v>121</v>
      </c>
      <c r="C277" s="37"/>
      <c r="D277" s="37"/>
      <c r="E277" s="135" t="s">
        <v>264</v>
      </c>
      <c r="F277" s="18" t="s">
        <v>190</v>
      </c>
      <c r="G277" s="74"/>
      <c r="H277" s="74"/>
    </row>
    <row r="278" spans="1:10" ht="20.25" customHeight="1" x14ac:dyDescent="0.5">
      <c r="E278" s="18" t="s">
        <v>265</v>
      </c>
    </row>
  </sheetData>
  <mergeCells count="498">
    <mergeCell ref="F276:H276"/>
    <mergeCell ref="C268:D268"/>
    <mergeCell ref="G268:H268"/>
    <mergeCell ref="C270:D270"/>
    <mergeCell ref="G270:H270"/>
    <mergeCell ref="C271:D271"/>
    <mergeCell ref="G271:H271"/>
    <mergeCell ref="C272:D272"/>
    <mergeCell ref="G272:H272"/>
    <mergeCell ref="C273:D273"/>
    <mergeCell ref="G273:H273"/>
    <mergeCell ref="C263:D263"/>
    <mergeCell ref="G263:H263"/>
    <mergeCell ref="C264:D264"/>
    <mergeCell ref="G264:H264"/>
    <mergeCell ref="C265:D265"/>
    <mergeCell ref="G265:H265"/>
    <mergeCell ref="C266:D266"/>
    <mergeCell ref="G266:H266"/>
    <mergeCell ref="C267:D267"/>
    <mergeCell ref="G267:H267"/>
    <mergeCell ref="C258:D258"/>
    <mergeCell ref="G258:H258"/>
    <mergeCell ref="C259:D259"/>
    <mergeCell ref="G259:H259"/>
    <mergeCell ref="C260:D260"/>
    <mergeCell ref="G260:H260"/>
    <mergeCell ref="C261:D261"/>
    <mergeCell ref="G261:H261"/>
    <mergeCell ref="C262:D262"/>
    <mergeCell ref="G262:H262"/>
    <mergeCell ref="C253:D253"/>
    <mergeCell ref="G253:H253"/>
    <mergeCell ref="C254:D254"/>
    <mergeCell ref="G254:H254"/>
    <mergeCell ref="C255:D255"/>
    <mergeCell ref="G255:H255"/>
    <mergeCell ref="C256:D256"/>
    <mergeCell ref="G256:H256"/>
    <mergeCell ref="C257:D257"/>
    <mergeCell ref="G257:H257"/>
    <mergeCell ref="C248:D248"/>
    <mergeCell ref="G248:H248"/>
    <mergeCell ref="C249:D249"/>
    <mergeCell ref="G249:H249"/>
    <mergeCell ref="C250:D250"/>
    <mergeCell ref="G250:H250"/>
    <mergeCell ref="C251:D251"/>
    <mergeCell ref="G251:H251"/>
    <mergeCell ref="C252:D252"/>
    <mergeCell ref="G252:H252"/>
    <mergeCell ref="C243:D243"/>
    <mergeCell ref="G243:H243"/>
    <mergeCell ref="C244:D244"/>
    <mergeCell ref="G244:H244"/>
    <mergeCell ref="C245:D245"/>
    <mergeCell ref="G245:H245"/>
    <mergeCell ref="C246:D246"/>
    <mergeCell ref="G246:H246"/>
    <mergeCell ref="C247:D247"/>
    <mergeCell ref="G247:H247"/>
    <mergeCell ref="C238:D238"/>
    <mergeCell ref="G238:H238"/>
    <mergeCell ref="C239:D239"/>
    <mergeCell ref="G239:H239"/>
    <mergeCell ref="C240:D240"/>
    <mergeCell ref="G240:H240"/>
    <mergeCell ref="C241:D241"/>
    <mergeCell ref="G241:H241"/>
    <mergeCell ref="C242:D242"/>
    <mergeCell ref="G242:H242"/>
    <mergeCell ref="C233:D233"/>
    <mergeCell ref="G233:H233"/>
    <mergeCell ref="C234:D234"/>
    <mergeCell ref="G234:H234"/>
    <mergeCell ref="C235:D235"/>
    <mergeCell ref="G235:H235"/>
    <mergeCell ref="C236:D236"/>
    <mergeCell ref="G236:H236"/>
    <mergeCell ref="C237:D237"/>
    <mergeCell ref="G237:H237"/>
    <mergeCell ref="C228:D228"/>
    <mergeCell ref="G228:H228"/>
    <mergeCell ref="C229:D229"/>
    <mergeCell ref="G229:H229"/>
    <mergeCell ref="C230:D230"/>
    <mergeCell ref="G230:H230"/>
    <mergeCell ref="C231:D231"/>
    <mergeCell ref="G231:H231"/>
    <mergeCell ref="C232:D232"/>
    <mergeCell ref="G232:H232"/>
    <mergeCell ref="A225:D225"/>
    <mergeCell ref="F225:H225"/>
    <mergeCell ref="A226:B226"/>
    <mergeCell ref="C226:D226"/>
    <mergeCell ref="E226:E227"/>
    <mergeCell ref="G226:H226"/>
    <mergeCell ref="A227:B227"/>
    <mergeCell ref="C227:D227"/>
    <mergeCell ref="G227:H227"/>
    <mergeCell ref="F221:H221"/>
    <mergeCell ref="C213:D213"/>
    <mergeCell ref="G213:H213"/>
    <mergeCell ref="C215:D215"/>
    <mergeCell ref="G215:H215"/>
    <mergeCell ref="C216:D216"/>
    <mergeCell ref="G216:H216"/>
    <mergeCell ref="C217:D217"/>
    <mergeCell ref="G217:H217"/>
    <mergeCell ref="C218:D218"/>
    <mergeCell ref="G218:H218"/>
    <mergeCell ref="C208:D208"/>
    <mergeCell ref="G208:H208"/>
    <mergeCell ref="C209:D209"/>
    <mergeCell ref="G209:H209"/>
    <mergeCell ref="C210:D210"/>
    <mergeCell ref="G210:H210"/>
    <mergeCell ref="C211:D211"/>
    <mergeCell ref="G211:H211"/>
    <mergeCell ref="C212:D212"/>
    <mergeCell ref="G212:H212"/>
    <mergeCell ref="C203:D203"/>
    <mergeCell ref="G203:H203"/>
    <mergeCell ref="C204:D204"/>
    <mergeCell ref="G204:H204"/>
    <mergeCell ref="C205:D205"/>
    <mergeCell ref="G205:H205"/>
    <mergeCell ref="C206:D206"/>
    <mergeCell ref="G206:H206"/>
    <mergeCell ref="C207:D207"/>
    <mergeCell ref="G207:H207"/>
    <mergeCell ref="C198:D198"/>
    <mergeCell ref="G198:H198"/>
    <mergeCell ref="C199:D199"/>
    <mergeCell ref="G199:H199"/>
    <mergeCell ref="C200:D200"/>
    <mergeCell ref="G200:H200"/>
    <mergeCell ref="C201:D201"/>
    <mergeCell ref="G201:H201"/>
    <mergeCell ref="C202:D202"/>
    <mergeCell ref="G202:H202"/>
    <mergeCell ref="C193:D193"/>
    <mergeCell ref="G193:H193"/>
    <mergeCell ref="C194:D194"/>
    <mergeCell ref="G194:H194"/>
    <mergeCell ref="C195:D195"/>
    <mergeCell ref="G195:H195"/>
    <mergeCell ref="C196:D196"/>
    <mergeCell ref="G196:H196"/>
    <mergeCell ref="C197:D197"/>
    <mergeCell ref="G197:H197"/>
    <mergeCell ref="C188:D188"/>
    <mergeCell ref="G188:H188"/>
    <mergeCell ref="C189:D189"/>
    <mergeCell ref="G189:H189"/>
    <mergeCell ref="C190:D190"/>
    <mergeCell ref="G190:H190"/>
    <mergeCell ref="C191:D191"/>
    <mergeCell ref="G191:H191"/>
    <mergeCell ref="C192:D192"/>
    <mergeCell ref="G192:H192"/>
    <mergeCell ref="C183:D183"/>
    <mergeCell ref="G183:H183"/>
    <mergeCell ref="C184:D184"/>
    <mergeCell ref="G184:H184"/>
    <mergeCell ref="C185:D185"/>
    <mergeCell ref="G185:H185"/>
    <mergeCell ref="C186:D186"/>
    <mergeCell ref="G186:H186"/>
    <mergeCell ref="C187:D187"/>
    <mergeCell ref="G187:H187"/>
    <mergeCell ref="C178:D178"/>
    <mergeCell ref="G178:H178"/>
    <mergeCell ref="C179:D179"/>
    <mergeCell ref="G179:H179"/>
    <mergeCell ref="C180:D180"/>
    <mergeCell ref="G180:H180"/>
    <mergeCell ref="C181:D181"/>
    <mergeCell ref="G181:H181"/>
    <mergeCell ref="C182:D182"/>
    <mergeCell ref="G182:H18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C177:D177"/>
    <mergeCell ref="G177:H177"/>
    <mergeCell ref="A170:D170"/>
    <mergeCell ref="F170:H170"/>
    <mergeCell ref="A171:B171"/>
    <mergeCell ref="C171:D171"/>
    <mergeCell ref="E171:E172"/>
    <mergeCell ref="G171:H171"/>
    <mergeCell ref="A172:B172"/>
    <mergeCell ref="C172:D172"/>
    <mergeCell ref="G172:H172"/>
    <mergeCell ref="C162:D162"/>
    <mergeCell ref="G162:H162"/>
    <mergeCell ref="F165:H165"/>
    <mergeCell ref="C156:D156"/>
    <mergeCell ref="G156:H156"/>
    <mergeCell ref="C157:D157"/>
    <mergeCell ref="G157:H157"/>
    <mergeCell ref="C159:D159"/>
    <mergeCell ref="G159:H159"/>
    <mergeCell ref="C160:D160"/>
    <mergeCell ref="G160:H160"/>
    <mergeCell ref="C161:D161"/>
    <mergeCell ref="G161:H161"/>
    <mergeCell ref="C151:D151"/>
    <mergeCell ref="G151:H151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46:D146"/>
    <mergeCell ref="G146:H146"/>
    <mergeCell ref="C147:D147"/>
    <mergeCell ref="G147:H147"/>
    <mergeCell ref="C148:D148"/>
    <mergeCell ref="G148:H148"/>
    <mergeCell ref="C149:D149"/>
    <mergeCell ref="G149:H149"/>
    <mergeCell ref="C150:D150"/>
    <mergeCell ref="G150:H150"/>
    <mergeCell ref="C141:D141"/>
    <mergeCell ref="G141:H141"/>
    <mergeCell ref="C142:D142"/>
    <mergeCell ref="G142:H142"/>
    <mergeCell ref="C143:D143"/>
    <mergeCell ref="G143:H143"/>
    <mergeCell ref="C144:D144"/>
    <mergeCell ref="G144:H144"/>
    <mergeCell ref="C145:D145"/>
    <mergeCell ref="G145:H145"/>
    <mergeCell ref="C136:D136"/>
    <mergeCell ref="G136:H136"/>
    <mergeCell ref="C137:D137"/>
    <mergeCell ref="G137:H137"/>
    <mergeCell ref="C138:D138"/>
    <mergeCell ref="G138:H138"/>
    <mergeCell ref="C139:D139"/>
    <mergeCell ref="G139:H139"/>
    <mergeCell ref="C140:D140"/>
    <mergeCell ref="G140:H140"/>
    <mergeCell ref="C130:D130"/>
    <mergeCell ref="G130:H130"/>
    <mergeCell ref="C131:D131"/>
    <mergeCell ref="G131:H131"/>
    <mergeCell ref="C133:D133"/>
    <mergeCell ref="G133:H133"/>
    <mergeCell ref="C134:D134"/>
    <mergeCell ref="G134:H134"/>
    <mergeCell ref="C135:D135"/>
    <mergeCell ref="G135:H135"/>
    <mergeCell ref="C132:D132"/>
    <mergeCell ref="G132:H132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G28:H28"/>
    <mergeCell ref="G29:H29"/>
    <mergeCell ref="C28:D28"/>
    <mergeCell ref="C29:D29"/>
    <mergeCell ref="C30:D30"/>
    <mergeCell ref="G30:H30"/>
    <mergeCell ref="C34:D34"/>
    <mergeCell ref="G34:H34"/>
    <mergeCell ref="C31:D31"/>
    <mergeCell ref="G31:H31"/>
    <mergeCell ref="C32:D32"/>
    <mergeCell ref="G32:H32"/>
    <mergeCell ref="C33:D33"/>
    <mergeCell ref="G33:H33"/>
    <mergeCell ref="C5:D5"/>
    <mergeCell ref="G5:H5"/>
    <mergeCell ref="C6:D6"/>
    <mergeCell ref="G6:H6"/>
    <mergeCell ref="C7:D7"/>
    <mergeCell ref="G7:H7"/>
    <mergeCell ref="A2:D2"/>
    <mergeCell ref="F2:H2"/>
    <mergeCell ref="A3:B3"/>
    <mergeCell ref="C3:D3"/>
    <mergeCell ref="E3:E4"/>
    <mergeCell ref="G3:H3"/>
    <mergeCell ref="A4:B4"/>
    <mergeCell ref="C4:D4"/>
    <mergeCell ref="G4:H4"/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G24:H24"/>
    <mergeCell ref="C25:D25"/>
    <mergeCell ref="G25:H25"/>
    <mergeCell ref="C26:D26"/>
    <mergeCell ref="G26:H26"/>
    <mergeCell ref="C24:D24"/>
    <mergeCell ref="C20:D20"/>
    <mergeCell ref="G20:H20"/>
    <mergeCell ref="G21:H21"/>
    <mergeCell ref="G22:H22"/>
    <mergeCell ref="G23:H23"/>
    <mergeCell ref="C23:D23"/>
    <mergeCell ref="C22:D22"/>
    <mergeCell ref="C21:D21"/>
    <mergeCell ref="C38:D38"/>
    <mergeCell ref="G38:H38"/>
    <mergeCell ref="C39:D39"/>
    <mergeCell ref="G39:H39"/>
    <mergeCell ref="C41:D41"/>
    <mergeCell ref="G41:H41"/>
    <mergeCell ref="G40:H40"/>
    <mergeCell ref="C40:D40"/>
    <mergeCell ref="C35:D35"/>
    <mergeCell ref="G35:H35"/>
    <mergeCell ref="C36:D36"/>
    <mergeCell ref="G36:H36"/>
    <mergeCell ref="C37:D37"/>
    <mergeCell ref="G37:H37"/>
    <mergeCell ref="G43:H43"/>
    <mergeCell ref="C43:D43"/>
    <mergeCell ref="C48:D48"/>
    <mergeCell ref="G48:H48"/>
    <mergeCell ref="C42:D42"/>
    <mergeCell ref="G42:H42"/>
    <mergeCell ref="C44:D44"/>
    <mergeCell ref="G44:H44"/>
    <mergeCell ref="C45:D45"/>
    <mergeCell ref="G45:H45"/>
    <mergeCell ref="F54:H54"/>
    <mergeCell ref="C49:D49"/>
    <mergeCell ref="G49:H49"/>
    <mergeCell ref="C50:D50"/>
    <mergeCell ref="G50:H50"/>
    <mergeCell ref="C51:D51"/>
    <mergeCell ref="G51:H51"/>
    <mergeCell ref="C46:D46"/>
    <mergeCell ref="G46:H46"/>
    <mergeCell ref="A58:D58"/>
    <mergeCell ref="F58:H58"/>
    <mergeCell ref="A59:B59"/>
    <mergeCell ref="C59:D59"/>
    <mergeCell ref="E59:E60"/>
    <mergeCell ref="G59:H59"/>
    <mergeCell ref="A60:B60"/>
    <mergeCell ref="C60:D60"/>
    <mergeCell ref="G60:H60"/>
    <mergeCell ref="C64:D64"/>
    <mergeCell ref="G64:H64"/>
    <mergeCell ref="C65:D65"/>
    <mergeCell ref="G65:H65"/>
    <mergeCell ref="C66:D66"/>
    <mergeCell ref="G66:H66"/>
    <mergeCell ref="C61:D61"/>
    <mergeCell ref="G61:H61"/>
    <mergeCell ref="C62:D62"/>
    <mergeCell ref="G62:H62"/>
    <mergeCell ref="C63:D63"/>
    <mergeCell ref="G63:H63"/>
    <mergeCell ref="C70:D70"/>
    <mergeCell ref="G70:H70"/>
    <mergeCell ref="C71:D71"/>
    <mergeCell ref="G71:H71"/>
    <mergeCell ref="C72:D72"/>
    <mergeCell ref="G72:H72"/>
    <mergeCell ref="C67:D67"/>
    <mergeCell ref="G67:H67"/>
    <mergeCell ref="C68:D68"/>
    <mergeCell ref="G68:H68"/>
    <mergeCell ref="C69:D69"/>
    <mergeCell ref="G69:H69"/>
    <mergeCell ref="C76:D76"/>
    <mergeCell ref="G76:H76"/>
    <mergeCell ref="C77:D77"/>
    <mergeCell ref="G77:H77"/>
    <mergeCell ref="C78:D78"/>
    <mergeCell ref="G78:H78"/>
    <mergeCell ref="C73:D73"/>
    <mergeCell ref="G73:H73"/>
    <mergeCell ref="C74:D74"/>
    <mergeCell ref="G74:H74"/>
    <mergeCell ref="C75:D75"/>
    <mergeCell ref="G75:H75"/>
    <mergeCell ref="C82:D82"/>
    <mergeCell ref="G82:H82"/>
    <mergeCell ref="C83:D83"/>
    <mergeCell ref="G83:H83"/>
    <mergeCell ref="C84:D84"/>
    <mergeCell ref="G84:H84"/>
    <mergeCell ref="C79:D79"/>
    <mergeCell ref="G79:H79"/>
    <mergeCell ref="C80:D80"/>
    <mergeCell ref="G80:H80"/>
    <mergeCell ref="C81:D81"/>
    <mergeCell ref="G81:H81"/>
    <mergeCell ref="C88:D88"/>
    <mergeCell ref="G88:H88"/>
    <mergeCell ref="C89:D89"/>
    <mergeCell ref="G89:H89"/>
    <mergeCell ref="C90:D90"/>
    <mergeCell ref="G90:H90"/>
    <mergeCell ref="C85:D85"/>
    <mergeCell ref="G85:H85"/>
    <mergeCell ref="C86:D86"/>
    <mergeCell ref="G86:H86"/>
    <mergeCell ref="C87:D87"/>
    <mergeCell ref="G87:H87"/>
    <mergeCell ref="C93:D93"/>
    <mergeCell ref="G93:H93"/>
    <mergeCell ref="C94:D94"/>
    <mergeCell ref="G94:H94"/>
    <mergeCell ref="C95:D95"/>
    <mergeCell ref="G95:H95"/>
    <mergeCell ref="C91:D91"/>
    <mergeCell ref="G91:H91"/>
    <mergeCell ref="C92:D92"/>
    <mergeCell ref="G92:H92"/>
    <mergeCell ref="C99:D99"/>
    <mergeCell ref="G99:H99"/>
    <mergeCell ref="C100:D100"/>
    <mergeCell ref="G100:H100"/>
    <mergeCell ref="C102:D102"/>
    <mergeCell ref="G102:H102"/>
    <mergeCell ref="C96:D96"/>
    <mergeCell ref="G96:H96"/>
    <mergeCell ref="C97:D97"/>
    <mergeCell ref="G97:H97"/>
    <mergeCell ref="C98:D98"/>
    <mergeCell ref="G98:H98"/>
    <mergeCell ref="F108:H108"/>
    <mergeCell ref="C103:D103"/>
    <mergeCell ref="G103:H103"/>
    <mergeCell ref="C104:D104"/>
    <mergeCell ref="G104:H104"/>
    <mergeCell ref="C105:D105"/>
    <mergeCell ref="G105:H105"/>
    <mergeCell ref="A114:D114"/>
    <mergeCell ref="F114:H114"/>
    <mergeCell ref="C118:D118"/>
    <mergeCell ref="G118:H118"/>
    <mergeCell ref="C119:D119"/>
    <mergeCell ref="G119:H119"/>
    <mergeCell ref="A115:B115"/>
    <mergeCell ref="C115:D115"/>
    <mergeCell ref="E115:E116"/>
    <mergeCell ref="G115:H115"/>
    <mergeCell ref="A116:B116"/>
    <mergeCell ref="C116:D116"/>
    <mergeCell ref="G116:H116"/>
    <mergeCell ref="C117:D117"/>
    <mergeCell ref="G117:H117"/>
  </mergeCells>
  <phoneticPr fontId="0" type="noConversion"/>
  <pageMargins left="0.59055118110236227" right="0.19685039370078741" top="7.874015748031496E-2" bottom="7.874015748031496E-2" header="0.51181102362204722" footer="0.51181102362204722"/>
  <pageSetup paperSize="9" scale="73" orientation="portrait" r:id="rId1"/>
  <headerFooter alignWithMargins="0"/>
  <rowBreaks count="1" manualBreakCount="1">
    <brk id="22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80"/>
  <sheetViews>
    <sheetView tabSelected="1" view="pageBreakPreview" topLeftCell="A169" zoomScale="120" zoomScaleSheetLayoutView="120" workbookViewId="0">
      <selection activeCell="H176" sqref="H176"/>
    </sheetView>
  </sheetViews>
  <sheetFormatPr defaultRowHeight="23.25" x14ac:dyDescent="0.5"/>
  <cols>
    <col min="1" max="1" width="47.796875" style="1" customWidth="1"/>
    <col min="2" max="2" width="14.19921875" style="1" customWidth="1"/>
    <col min="3" max="6" width="19" style="1" customWidth="1"/>
    <col min="7" max="7" width="23.796875" style="1" customWidth="1"/>
    <col min="8" max="8" width="20" style="1" customWidth="1"/>
    <col min="9" max="9" width="2.59765625" style="1" bestFit="1" customWidth="1"/>
    <col min="10" max="10" width="13" style="1" bestFit="1" customWidth="1"/>
    <col min="11" max="16384" width="9.59765625" style="1"/>
  </cols>
  <sheetData>
    <row r="1" spans="1:8" x14ac:dyDescent="0.5">
      <c r="A1" s="182" t="s">
        <v>116</v>
      </c>
      <c r="B1" s="182"/>
      <c r="C1" s="182"/>
      <c r="D1" s="182"/>
      <c r="E1" s="182"/>
      <c r="F1" s="182"/>
      <c r="G1" s="182"/>
    </row>
    <row r="2" spans="1:8" x14ac:dyDescent="0.5">
      <c r="A2" s="182" t="s">
        <v>46</v>
      </c>
      <c r="B2" s="182"/>
      <c r="C2" s="182"/>
      <c r="D2" s="182"/>
      <c r="E2" s="182"/>
      <c r="F2" s="182"/>
      <c r="G2" s="182"/>
    </row>
    <row r="3" spans="1:8" x14ac:dyDescent="0.5">
      <c r="A3" s="182" t="s">
        <v>214</v>
      </c>
      <c r="B3" s="182"/>
      <c r="C3" s="182"/>
      <c r="D3" s="182"/>
      <c r="E3" s="182"/>
      <c r="F3" s="182"/>
      <c r="G3" s="182"/>
    </row>
    <row r="4" spans="1:8" x14ac:dyDescent="0.5">
      <c r="A4" s="17" t="s">
        <v>36</v>
      </c>
      <c r="B4" s="17" t="s">
        <v>1</v>
      </c>
      <c r="C4" s="17" t="s">
        <v>25</v>
      </c>
      <c r="D4" s="17" t="s">
        <v>47</v>
      </c>
      <c r="E4" s="86" t="s">
        <v>48</v>
      </c>
      <c r="F4" s="17" t="s">
        <v>57</v>
      </c>
      <c r="G4" s="17" t="s">
        <v>49</v>
      </c>
    </row>
    <row r="5" spans="1:8" x14ac:dyDescent="0.5">
      <c r="A5" s="4" t="s">
        <v>50</v>
      </c>
      <c r="B5" s="3">
        <v>230102</v>
      </c>
      <c r="C5" s="2">
        <v>0</v>
      </c>
      <c r="D5" s="7">
        <v>28241.56</v>
      </c>
      <c r="E5" s="7"/>
      <c r="F5" s="95">
        <f>C5+D5-E5</f>
        <v>28241.56</v>
      </c>
      <c r="G5" s="96"/>
    </row>
    <row r="6" spans="1:8" x14ac:dyDescent="0.5">
      <c r="A6" s="4" t="s">
        <v>51</v>
      </c>
      <c r="B6" s="3">
        <v>230108</v>
      </c>
      <c r="C6" s="2">
        <v>1521899</v>
      </c>
      <c r="D6" s="7">
        <v>3000</v>
      </c>
      <c r="E6" s="97">
        <v>207095</v>
      </c>
      <c r="F6" s="95">
        <f>C6+D6-E6</f>
        <v>1317804</v>
      </c>
      <c r="G6" s="96"/>
      <c r="H6" s="63">
        <f>1513549-F6</f>
        <v>195745</v>
      </c>
    </row>
    <row r="7" spans="1:8" x14ac:dyDescent="0.5">
      <c r="A7" s="4" t="s">
        <v>196</v>
      </c>
      <c r="B7" s="3"/>
      <c r="C7" s="2">
        <v>0</v>
      </c>
      <c r="D7" s="7">
        <v>65000</v>
      </c>
      <c r="E7" s="97"/>
      <c r="F7" s="95">
        <f t="shared" ref="F7:F22" si="0">C7+D7-E7</f>
        <v>65000</v>
      </c>
      <c r="G7" s="96"/>
    </row>
    <row r="8" spans="1:8" x14ac:dyDescent="0.5">
      <c r="A8" s="4" t="s">
        <v>201</v>
      </c>
      <c r="B8" s="3"/>
      <c r="C8" s="2">
        <v>99900</v>
      </c>
      <c r="D8" s="7"/>
      <c r="E8" s="97"/>
      <c r="F8" s="95">
        <f t="shared" si="0"/>
        <v>99900</v>
      </c>
      <c r="G8" s="96"/>
    </row>
    <row r="9" spans="1:8" x14ac:dyDescent="0.5">
      <c r="A9" s="4" t="s">
        <v>202</v>
      </c>
      <c r="B9" s="3"/>
      <c r="C9" s="2">
        <v>19000</v>
      </c>
      <c r="D9" s="7">
        <v>30000</v>
      </c>
      <c r="E9" s="97"/>
      <c r="F9" s="95">
        <f t="shared" si="0"/>
        <v>49000</v>
      </c>
      <c r="G9" s="96"/>
    </row>
    <row r="10" spans="1:8" x14ac:dyDescent="0.5">
      <c r="A10" s="4" t="s">
        <v>52</v>
      </c>
      <c r="B10" s="3">
        <v>230105</v>
      </c>
      <c r="C10" s="2">
        <v>24129.94</v>
      </c>
      <c r="D10" s="7">
        <v>646.70000000000005</v>
      </c>
      <c r="E10" s="97"/>
      <c r="F10" s="95">
        <f t="shared" si="0"/>
        <v>24776.639999999999</v>
      </c>
      <c r="G10" s="96"/>
    </row>
    <row r="11" spans="1:8" x14ac:dyDescent="0.5">
      <c r="A11" s="4" t="s">
        <v>56</v>
      </c>
      <c r="B11" s="3">
        <v>230106</v>
      </c>
      <c r="C11" s="2">
        <v>14410.87</v>
      </c>
      <c r="D11" s="7"/>
      <c r="E11" s="97"/>
      <c r="F11" s="95">
        <f t="shared" si="0"/>
        <v>14410.87</v>
      </c>
      <c r="G11" s="96"/>
    </row>
    <row r="12" spans="1:8" x14ac:dyDescent="0.5">
      <c r="A12" s="4" t="s">
        <v>98</v>
      </c>
      <c r="B12" s="3"/>
      <c r="C12" s="2">
        <v>1171950.83</v>
      </c>
      <c r="D12" s="31">
        <v>2642.11</v>
      </c>
      <c r="E12" s="98">
        <f>1569.61+0.12</f>
        <v>1569.7299999999998</v>
      </c>
      <c r="F12" s="95">
        <f t="shared" si="0"/>
        <v>1173023.2100000002</v>
      </c>
      <c r="G12" s="99"/>
    </row>
    <row r="13" spans="1:8" x14ac:dyDescent="0.5">
      <c r="A13" s="4" t="s">
        <v>193</v>
      </c>
      <c r="B13" s="83"/>
      <c r="C13" s="2">
        <v>15605</v>
      </c>
      <c r="D13" s="100"/>
      <c r="E13" s="100">
        <v>15605</v>
      </c>
      <c r="F13" s="95">
        <f t="shared" si="0"/>
        <v>0</v>
      </c>
      <c r="G13" s="101"/>
      <c r="H13" s="1">
        <f>14550+1055</f>
        <v>15605</v>
      </c>
    </row>
    <row r="14" spans="1:8" x14ac:dyDescent="0.5">
      <c r="A14" s="4" t="s">
        <v>194</v>
      </c>
      <c r="B14" s="83"/>
      <c r="C14" s="2"/>
      <c r="D14" s="100">
        <v>30824</v>
      </c>
      <c r="E14" s="100"/>
      <c r="F14" s="95">
        <f t="shared" si="0"/>
        <v>30824</v>
      </c>
      <c r="G14" s="101"/>
      <c r="H14" s="1">
        <f>33439</f>
        <v>33439</v>
      </c>
    </row>
    <row r="15" spans="1:8" x14ac:dyDescent="0.5">
      <c r="A15" s="4" t="s">
        <v>102</v>
      </c>
      <c r="B15" s="6"/>
      <c r="C15" s="2"/>
      <c r="D15" s="100">
        <v>49732.75</v>
      </c>
      <c r="E15" s="100">
        <v>49732.75</v>
      </c>
      <c r="F15" s="95">
        <f t="shared" si="0"/>
        <v>0</v>
      </c>
      <c r="G15" s="101"/>
    </row>
    <row r="16" spans="1:8" x14ac:dyDescent="0.5">
      <c r="A16" s="4" t="s">
        <v>103</v>
      </c>
      <c r="B16" s="3"/>
      <c r="C16" s="2"/>
      <c r="D16" s="31">
        <v>22747.5</v>
      </c>
      <c r="E16" s="31">
        <v>22747.5</v>
      </c>
      <c r="F16" s="95">
        <f t="shared" si="0"/>
        <v>0</v>
      </c>
      <c r="G16" s="96"/>
    </row>
    <row r="17" spans="1:8" x14ac:dyDescent="0.5">
      <c r="A17" s="4" t="s">
        <v>89</v>
      </c>
      <c r="B17" s="3"/>
      <c r="C17" s="2"/>
      <c r="D17" s="31">
        <v>70300</v>
      </c>
      <c r="E17" s="31">
        <v>70300</v>
      </c>
      <c r="F17" s="95">
        <f t="shared" si="0"/>
        <v>0</v>
      </c>
      <c r="G17" s="96"/>
    </row>
    <row r="18" spans="1:8" x14ac:dyDescent="0.5">
      <c r="A18" s="4" t="s">
        <v>215</v>
      </c>
      <c r="B18" s="3"/>
      <c r="C18" s="2"/>
      <c r="D18" s="31">
        <v>249790</v>
      </c>
      <c r="E18" s="31">
        <v>249790</v>
      </c>
      <c r="F18" s="95">
        <f t="shared" si="0"/>
        <v>0</v>
      </c>
      <c r="G18" s="96"/>
    </row>
    <row r="19" spans="1:8" x14ac:dyDescent="0.5">
      <c r="A19" s="4" t="s">
        <v>104</v>
      </c>
      <c r="B19" s="16"/>
      <c r="C19" s="2"/>
      <c r="D19" s="102">
        <v>13900</v>
      </c>
      <c r="E19" s="102">
        <v>13900</v>
      </c>
      <c r="F19" s="95">
        <f t="shared" si="0"/>
        <v>0</v>
      </c>
      <c r="G19" s="39"/>
    </row>
    <row r="20" spans="1:8" x14ac:dyDescent="0.5">
      <c r="A20" s="4" t="s">
        <v>123</v>
      </c>
      <c r="B20" s="6"/>
      <c r="C20" s="2"/>
      <c r="D20" s="100">
        <v>75290</v>
      </c>
      <c r="E20" s="100">
        <v>75290</v>
      </c>
      <c r="F20" s="95">
        <f t="shared" si="0"/>
        <v>0</v>
      </c>
      <c r="G20" s="101"/>
    </row>
    <row r="21" spans="1:8" x14ac:dyDescent="0.5">
      <c r="A21" s="4" t="s">
        <v>105</v>
      </c>
      <c r="B21" s="6"/>
      <c r="C21" s="2"/>
      <c r="D21" s="100">
        <v>150</v>
      </c>
      <c r="E21" s="100">
        <v>150</v>
      </c>
      <c r="F21" s="95">
        <f t="shared" si="0"/>
        <v>0</v>
      </c>
      <c r="G21" s="101"/>
    </row>
    <row r="22" spans="1:8" x14ac:dyDescent="0.5">
      <c r="A22" s="81" t="s">
        <v>197</v>
      </c>
      <c r="B22" s="82"/>
      <c r="C22" s="2">
        <v>3633</v>
      </c>
      <c r="D22" s="100">
        <v>0</v>
      </c>
      <c r="E22" s="100">
        <v>0</v>
      </c>
      <c r="F22" s="95">
        <f t="shared" si="0"/>
        <v>3633</v>
      </c>
      <c r="G22" s="103"/>
    </row>
    <row r="23" spans="1:8" ht="24" thickBot="1" x14ac:dyDescent="0.55000000000000004">
      <c r="A23" s="38" t="s">
        <v>43</v>
      </c>
      <c r="B23" s="40"/>
      <c r="C23" s="41">
        <f>SUM(C5:C22)</f>
        <v>2870528.64</v>
      </c>
      <c r="D23" s="20">
        <f>SUM(D5:D22)</f>
        <v>642264.62</v>
      </c>
      <c r="E23" s="20">
        <f>SUM(E5:E22)</f>
        <v>706179.98</v>
      </c>
      <c r="F23" s="20">
        <f>SUM(F5:F22)</f>
        <v>2806613.2800000003</v>
      </c>
      <c r="G23" s="42"/>
      <c r="H23" s="63" t="e">
        <f>#REF!-F23</f>
        <v>#REF!</v>
      </c>
    </row>
    <row r="24" spans="1:8" ht="24" thickTop="1" x14ac:dyDescent="0.5">
      <c r="A24" s="9"/>
      <c r="B24" s="10"/>
      <c r="C24" s="10"/>
      <c r="D24" s="10"/>
      <c r="E24" s="10"/>
      <c r="F24" s="10"/>
      <c r="G24" s="11"/>
    </row>
    <row r="25" spans="1:8" x14ac:dyDescent="0.5">
      <c r="A25" s="8"/>
      <c r="B25" s="211" t="s">
        <v>187</v>
      </c>
      <c r="C25" s="211"/>
      <c r="D25" s="211"/>
      <c r="E25" s="211"/>
      <c r="F25" s="8"/>
      <c r="G25" s="8"/>
    </row>
    <row r="26" spans="1:8" x14ac:dyDescent="0.5">
      <c r="A26" s="210" t="s">
        <v>149</v>
      </c>
      <c r="B26" s="210"/>
      <c r="C26" s="210"/>
      <c r="D26" s="210"/>
      <c r="E26" s="210"/>
      <c r="F26" s="210"/>
      <c r="G26" s="210"/>
    </row>
    <row r="27" spans="1:8" x14ac:dyDescent="0.5">
      <c r="A27" s="210" t="s">
        <v>150</v>
      </c>
      <c r="B27" s="210"/>
      <c r="C27" s="210"/>
      <c r="D27" s="210"/>
      <c r="E27" s="210"/>
      <c r="F27" s="210"/>
      <c r="G27" s="210"/>
    </row>
    <row r="28" spans="1:8" x14ac:dyDescent="0.5">
      <c r="A28" s="8"/>
      <c r="B28" s="8"/>
      <c r="C28" s="8"/>
      <c r="D28" s="8"/>
      <c r="E28" s="8"/>
      <c r="F28" s="8"/>
      <c r="G28" s="8"/>
    </row>
    <row r="29" spans="1:8" x14ac:dyDescent="0.5">
      <c r="A29" s="8"/>
      <c r="B29" s="210" t="s">
        <v>188</v>
      </c>
      <c r="C29" s="210"/>
      <c r="D29" s="210"/>
      <c r="E29" s="210"/>
      <c r="F29" s="8"/>
      <c r="G29" s="8"/>
    </row>
    <row r="30" spans="1:8" x14ac:dyDescent="0.5">
      <c r="A30" s="210" t="s">
        <v>151</v>
      </c>
      <c r="B30" s="210"/>
      <c r="C30" s="210"/>
      <c r="D30" s="210"/>
      <c r="E30" s="210"/>
      <c r="F30" s="210"/>
      <c r="G30" s="210"/>
    </row>
    <row r="31" spans="1:8" x14ac:dyDescent="0.5">
      <c r="A31" s="210" t="s">
        <v>152</v>
      </c>
      <c r="B31" s="210"/>
      <c r="C31" s="210"/>
      <c r="D31" s="210"/>
      <c r="E31" s="210"/>
      <c r="F31" s="210"/>
      <c r="G31" s="210"/>
    </row>
    <row r="32" spans="1:8" x14ac:dyDescent="0.5">
      <c r="A32" s="8"/>
      <c r="B32" s="8"/>
      <c r="C32" s="8"/>
      <c r="D32" s="8"/>
      <c r="E32" s="8"/>
      <c r="F32" s="8"/>
      <c r="G32" s="8"/>
    </row>
    <row r="33" spans="1:7" x14ac:dyDescent="0.5">
      <c r="A33" s="8"/>
      <c r="B33" s="210" t="s">
        <v>189</v>
      </c>
      <c r="C33" s="210"/>
      <c r="D33" s="210"/>
      <c r="E33" s="210"/>
      <c r="F33" s="8"/>
      <c r="G33" s="8"/>
    </row>
    <row r="34" spans="1:7" x14ac:dyDescent="0.5">
      <c r="A34" s="210" t="s">
        <v>191</v>
      </c>
      <c r="B34" s="210"/>
      <c r="C34" s="210"/>
      <c r="D34" s="210"/>
      <c r="E34" s="210"/>
      <c r="F34" s="210"/>
      <c r="G34" s="210"/>
    </row>
    <row r="35" spans="1:7" x14ac:dyDescent="0.5">
      <c r="A35" s="210" t="s">
        <v>192</v>
      </c>
      <c r="B35" s="210"/>
      <c r="C35" s="210"/>
      <c r="D35" s="210"/>
      <c r="E35" s="210"/>
      <c r="F35" s="210"/>
      <c r="G35" s="210"/>
    </row>
    <row r="38" spans="1:7" x14ac:dyDescent="0.5">
      <c r="A38" s="182" t="s">
        <v>116</v>
      </c>
      <c r="B38" s="182"/>
      <c r="C38" s="182"/>
      <c r="D38" s="182"/>
      <c r="E38" s="182"/>
      <c r="F38" s="182"/>
      <c r="G38" s="182"/>
    </row>
    <row r="39" spans="1:7" x14ac:dyDescent="0.5">
      <c r="A39" s="182" t="s">
        <v>46</v>
      </c>
      <c r="B39" s="182"/>
      <c r="C39" s="182"/>
      <c r="D39" s="182"/>
      <c r="E39" s="182"/>
      <c r="F39" s="182"/>
      <c r="G39" s="182"/>
    </row>
    <row r="40" spans="1:7" x14ac:dyDescent="0.5">
      <c r="A40" s="182" t="s">
        <v>225</v>
      </c>
      <c r="B40" s="182"/>
      <c r="C40" s="182"/>
      <c r="D40" s="182"/>
      <c r="E40" s="182"/>
      <c r="F40" s="182"/>
      <c r="G40" s="182"/>
    </row>
    <row r="41" spans="1:7" x14ac:dyDescent="0.5">
      <c r="A41" s="17" t="s">
        <v>36</v>
      </c>
      <c r="B41" s="17" t="s">
        <v>1</v>
      </c>
      <c r="C41" s="17" t="s">
        <v>25</v>
      </c>
      <c r="D41" s="17" t="s">
        <v>47</v>
      </c>
      <c r="E41" s="108" t="s">
        <v>48</v>
      </c>
      <c r="F41" s="17" t="s">
        <v>57</v>
      </c>
      <c r="G41" s="17" t="s">
        <v>49</v>
      </c>
    </row>
    <row r="42" spans="1:7" x14ac:dyDescent="0.5">
      <c r="A42" s="4" t="s">
        <v>50</v>
      </c>
      <c r="B42" s="3">
        <v>230102</v>
      </c>
      <c r="C42" s="2">
        <f>F5</f>
        <v>28241.56</v>
      </c>
      <c r="D42" s="7">
        <v>17892.400000000001</v>
      </c>
      <c r="E42" s="7">
        <v>28241.56</v>
      </c>
      <c r="F42" s="95">
        <f>C42+D42-E42</f>
        <v>17892.400000000005</v>
      </c>
      <c r="G42" s="96"/>
    </row>
    <row r="43" spans="1:7" x14ac:dyDescent="0.5">
      <c r="A43" s="4" t="s">
        <v>51</v>
      </c>
      <c r="B43" s="3">
        <v>230108</v>
      </c>
      <c r="C43" s="2">
        <f t="shared" ref="C43:C59" si="1">F6</f>
        <v>1317804</v>
      </c>
      <c r="D43" s="7"/>
      <c r="E43" s="97"/>
      <c r="F43" s="95">
        <f>C43+D43-E43</f>
        <v>1317804</v>
      </c>
      <c r="G43" s="96"/>
    </row>
    <row r="44" spans="1:7" x14ac:dyDescent="0.5">
      <c r="A44" s="4" t="s">
        <v>196</v>
      </c>
      <c r="B44" s="3"/>
      <c r="C44" s="2">
        <f t="shared" si="1"/>
        <v>65000</v>
      </c>
      <c r="D44" s="7">
        <v>637150</v>
      </c>
      <c r="E44" s="97">
        <v>65000</v>
      </c>
      <c r="F44" s="95">
        <f t="shared" ref="F44:F59" si="2">C44+D44-E44</f>
        <v>637150</v>
      </c>
      <c r="G44" s="96"/>
    </row>
    <row r="45" spans="1:7" x14ac:dyDescent="0.5">
      <c r="A45" s="4" t="s">
        <v>201</v>
      </c>
      <c r="B45" s="3"/>
      <c r="C45" s="2">
        <f t="shared" si="1"/>
        <v>99900</v>
      </c>
      <c r="D45" s="7"/>
      <c r="E45" s="97"/>
      <c r="F45" s="95">
        <f t="shared" si="2"/>
        <v>99900</v>
      </c>
      <c r="G45" s="96"/>
    </row>
    <row r="46" spans="1:7" x14ac:dyDescent="0.5">
      <c r="A46" s="4" t="s">
        <v>202</v>
      </c>
      <c r="B46" s="3"/>
      <c r="C46" s="2">
        <f t="shared" si="1"/>
        <v>49000</v>
      </c>
      <c r="D46" s="7"/>
      <c r="E46" s="97"/>
      <c r="F46" s="95">
        <f t="shared" si="2"/>
        <v>49000</v>
      </c>
      <c r="G46" s="96"/>
    </row>
    <row r="47" spans="1:7" x14ac:dyDescent="0.5">
      <c r="A47" s="4" t="s">
        <v>52</v>
      </c>
      <c r="B47" s="3">
        <v>230105</v>
      </c>
      <c r="C47" s="2">
        <f t="shared" si="1"/>
        <v>24776.639999999999</v>
      </c>
      <c r="D47" s="7">
        <v>13.1</v>
      </c>
      <c r="E47" s="97"/>
      <c r="F47" s="95">
        <f t="shared" si="2"/>
        <v>24789.739999999998</v>
      </c>
      <c r="G47" s="96"/>
    </row>
    <row r="48" spans="1:7" x14ac:dyDescent="0.5">
      <c r="A48" s="4" t="s">
        <v>56</v>
      </c>
      <c r="B48" s="3">
        <v>230106</v>
      </c>
      <c r="C48" s="2">
        <f t="shared" si="1"/>
        <v>14410.87</v>
      </c>
      <c r="D48" s="7"/>
      <c r="E48" s="97"/>
      <c r="F48" s="95">
        <f t="shared" si="2"/>
        <v>14410.87</v>
      </c>
      <c r="G48" s="96"/>
    </row>
    <row r="49" spans="1:7" x14ac:dyDescent="0.5">
      <c r="A49" s="4" t="s">
        <v>98</v>
      </c>
      <c r="B49" s="3"/>
      <c r="C49" s="2">
        <f t="shared" si="1"/>
        <v>1173023.2100000002</v>
      </c>
      <c r="D49" s="31"/>
      <c r="E49" s="98"/>
      <c r="F49" s="95">
        <f t="shared" si="2"/>
        <v>1173023.2100000002</v>
      </c>
      <c r="G49" s="99"/>
    </row>
    <row r="50" spans="1:7" x14ac:dyDescent="0.5">
      <c r="A50" s="4" t="s">
        <v>193</v>
      </c>
      <c r="B50" s="104"/>
      <c r="C50" s="2">
        <f t="shared" si="1"/>
        <v>0</v>
      </c>
      <c r="D50" s="100"/>
      <c r="E50" s="100"/>
      <c r="F50" s="95">
        <f t="shared" si="2"/>
        <v>0</v>
      </c>
      <c r="G50" s="101"/>
    </row>
    <row r="51" spans="1:7" x14ac:dyDescent="0.5">
      <c r="A51" s="4" t="s">
        <v>194</v>
      </c>
      <c r="B51" s="104"/>
      <c r="C51" s="2">
        <f t="shared" si="1"/>
        <v>30824</v>
      </c>
      <c r="D51" s="100">
        <v>30184</v>
      </c>
      <c r="E51" s="100">
        <v>30824</v>
      </c>
      <c r="F51" s="95">
        <f t="shared" si="2"/>
        <v>30184</v>
      </c>
      <c r="G51" s="101"/>
    </row>
    <row r="52" spans="1:7" x14ac:dyDescent="0.5">
      <c r="A52" s="4" t="s">
        <v>102</v>
      </c>
      <c r="B52" s="6"/>
      <c r="C52" s="2">
        <f t="shared" si="1"/>
        <v>0</v>
      </c>
      <c r="D52" s="100">
        <v>42455.5</v>
      </c>
      <c r="E52" s="100">
        <v>42455.5</v>
      </c>
      <c r="F52" s="95">
        <f t="shared" si="2"/>
        <v>0</v>
      </c>
      <c r="G52" s="101"/>
    </row>
    <row r="53" spans="1:7" x14ac:dyDescent="0.5">
      <c r="A53" s="4" t="s">
        <v>103</v>
      </c>
      <c r="B53" s="3"/>
      <c r="C53" s="2">
        <f t="shared" si="1"/>
        <v>0</v>
      </c>
      <c r="D53" s="31">
        <v>22017.16</v>
      </c>
      <c r="E53" s="31">
        <v>22017.16</v>
      </c>
      <c r="F53" s="95">
        <f t="shared" si="2"/>
        <v>0</v>
      </c>
      <c r="G53" s="96"/>
    </row>
    <row r="54" spans="1:7" x14ac:dyDescent="0.5">
      <c r="A54" s="4" t="s">
        <v>89</v>
      </c>
      <c r="B54" s="3"/>
      <c r="C54" s="2">
        <f t="shared" si="1"/>
        <v>0</v>
      </c>
      <c r="D54" s="31">
        <v>62700</v>
      </c>
      <c r="E54" s="31">
        <v>62700</v>
      </c>
      <c r="F54" s="95">
        <f t="shared" si="2"/>
        <v>0</v>
      </c>
      <c r="G54" s="96"/>
    </row>
    <row r="55" spans="1:7" x14ac:dyDescent="0.5">
      <c r="A55" s="4" t="s">
        <v>215</v>
      </c>
      <c r="B55" s="3"/>
      <c r="C55" s="2">
        <f t="shared" si="1"/>
        <v>0</v>
      </c>
      <c r="D55" s="31">
        <v>247450</v>
      </c>
      <c r="E55" s="31">
        <v>247450</v>
      </c>
      <c r="F55" s="95">
        <f t="shared" si="2"/>
        <v>0</v>
      </c>
      <c r="G55" s="96"/>
    </row>
    <row r="56" spans="1:7" x14ac:dyDescent="0.5">
      <c r="A56" s="4" t="s">
        <v>104</v>
      </c>
      <c r="B56" s="16"/>
      <c r="C56" s="2">
        <f t="shared" si="1"/>
        <v>0</v>
      </c>
      <c r="D56" s="102">
        <v>13900</v>
      </c>
      <c r="E56" s="102">
        <v>13900</v>
      </c>
      <c r="F56" s="95">
        <f t="shared" si="2"/>
        <v>0</v>
      </c>
      <c r="G56" s="39"/>
    </row>
    <row r="57" spans="1:7" x14ac:dyDescent="0.5">
      <c r="A57" s="4" t="s">
        <v>123</v>
      </c>
      <c r="B57" s="6"/>
      <c r="C57" s="2">
        <f t="shared" si="1"/>
        <v>0</v>
      </c>
      <c r="D57" s="100">
        <v>75290</v>
      </c>
      <c r="E57" s="100">
        <v>75290</v>
      </c>
      <c r="F57" s="95">
        <f t="shared" si="2"/>
        <v>0</v>
      </c>
      <c r="G57" s="101"/>
    </row>
    <row r="58" spans="1:7" x14ac:dyDescent="0.5">
      <c r="A58" s="4" t="s">
        <v>105</v>
      </c>
      <c r="B58" s="6"/>
      <c r="C58" s="2">
        <f t="shared" si="1"/>
        <v>0</v>
      </c>
      <c r="D58" s="100">
        <v>144</v>
      </c>
      <c r="E58" s="100">
        <v>144</v>
      </c>
      <c r="F58" s="95">
        <f t="shared" si="2"/>
        <v>0</v>
      </c>
      <c r="G58" s="101"/>
    </row>
    <row r="59" spans="1:7" x14ac:dyDescent="0.5">
      <c r="A59" s="81" t="s">
        <v>197</v>
      </c>
      <c r="B59" s="82"/>
      <c r="C59" s="2">
        <f t="shared" si="1"/>
        <v>3633</v>
      </c>
      <c r="D59" s="100">
        <v>0</v>
      </c>
      <c r="E59" s="100">
        <v>0</v>
      </c>
      <c r="F59" s="95">
        <f t="shared" si="2"/>
        <v>3633</v>
      </c>
      <c r="G59" s="103"/>
    </row>
    <row r="60" spans="1:7" ht="24" thickBot="1" x14ac:dyDescent="0.55000000000000004">
      <c r="A60" s="38" t="s">
        <v>43</v>
      </c>
      <c r="B60" s="40"/>
      <c r="C60" s="41">
        <f>SUM(C42:C59)</f>
        <v>2806613.2800000003</v>
      </c>
      <c r="D60" s="20">
        <f>SUM(D42:D59)</f>
        <v>1149196.1600000001</v>
      </c>
      <c r="E60" s="20">
        <f>SUM(E42:E59)</f>
        <v>588022.22</v>
      </c>
      <c r="F60" s="20">
        <f>SUM(F42:F59)</f>
        <v>3367787.2200000007</v>
      </c>
      <c r="G60" s="42"/>
    </row>
    <row r="61" spans="1:7" ht="24" thickTop="1" x14ac:dyDescent="0.5">
      <c r="A61" s="9"/>
      <c r="B61" s="10"/>
      <c r="C61" s="10"/>
      <c r="D61" s="10"/>
      <c r="E61" s="10"/>
      <c r="F61" s="10"/>
      <c r="G61" s="11"/>
    </row>
    <row r="62" spans="1:7" x14ac:dyDescent="0.5">
      <c r="A62" s="8"/>
      <c r="B62" s="211" t="s">
        <v>187</v>
      </c>
      <c r="C62" s="211"/>
      <c r="D62" s="211"/>
      <c r="E62" s="211"/>
      <c r="F62" s="8"/>
      <c r="G62" s="8"/>
    </row>
    <row r="63" spans="1:7" x14ac:dyDescent="0.5">
      <c r="A63" s="210" t="s">
        <v>149</v>
      </c>
      <c r="B63" s="210"/>
      <c r="C63" s="210"/>
      <c r="D63" s="210"/>
      <c r="E63" s="210"/>
      <c r="F63" s="210"/>
      <c r="G63" s="210"/>
    </row>
    <row r="64" spans="1:7" x14ac:dyDescent="0.5">
      <c r="A64" s="210" t="s">
        <v>150</v>
      </c>
      <c r="B64" s="210"/>
      <c r="C64" s="210"/>
      <c r="D64" s="210"/>
      <c r="E64" s="210"/>
      <c r="F64" s="210"/>
      <c r="G64" s="210"/>
    </row>
    <row r="65" spans="1:7" x14ac:dyDescent="0.5">
      <c r="A65" s="8"/>
      <c r="B65" s="8"/>
      <c r="C65" s="8"/>
      <c r="D65" s="8"/>
      <c r="E65" s="8"/>
      <c r="F65" s="8"/>
      <c r="G65" s="8"/>
    </row>
    <row r="66" spans="1:7" x14ac:dyDescent="0.5">
      <c r="A66" s="8"/>
      <c r="B66" s="210" t="s">
        <v>188</v>
      </c>
      <c r="C66" s="210"/>
      <c r="D66" s="210"/>
      <c r="E66" s="210"/>
      <c r="F66" s="8"/>
      <c r="G66" s="8"/>
    </row>
    <row r="67" spans="1:7" x14ac:dyDescent="0.5">
      <c r="A67" s="210" t="s">
        <v>151</v>
      </c>
      <c r="B67" s="210"/>
      <c r="C67" s="210"/>
      <c r="D67" s="210"/>
      <c r="E67" s="210"/>
      <c r="F67" s="210"/>
      <c r="G67" s="210"/>
    </row>
    <row r="68" spans="1:7" x14ac:dyDescent="0.5">
      <c r="A68" s="210" t="s">
        <v>152</v>
      </c>
      <c r="B68" s="210"/>
      <c r="C68" s="210"/>
      <c r="D68" s="210"/>
      <c r="E68" s="210"/>
      <c r="F68" s="210"/>
      <c r="G68" s="210"/>
    </row>
    <row r="69" spans="1:7" x14ac:dyDescent="0.5">
      <c r="A69" s="8"/>
      <c r="B69" s="8"/>
      <c r="C69" s="8"/>
      <c r="D69" s="8"/>
      <c r="E69" s="8"/>
      <c r="F69" s="8"/>
      <c r="G69" s="8"/>
    </row>
    <row r="70" spans="1:7" x14ac:dyDescent="0.5">
      <c r="A70" s="8"/>
      <c r="B70" s="210" t="s">
        <v>189</v>
      </c>
      <c r="C70" s="210"/>
      <c r="D70" s="210"/>
      <c r="E70" s="210"/>
      <c r="F70" s="8"/>
      <c r="G70" s="8"/>
    </row>
    <row r="71" spans="1:7" x14ac:dyDescent="0.5">
      <c r="A71" s="210" t="s">
        <v>191</v>
      </c>
      <c r="B71" s="210"/>
      <c r="C71" s="210"/>
      <c r="D71" s="210"/>
      <c r="E71" s="210"/>
      <c r="F71" s="210"/>
      <c r="G71" s="210"/>
    </row>
    <row r="72" spans="1:7" x14ac:dyDescent="0.5">
      <c r="A72" s="210" t="s">
        <v>192</v>
      </c>
      <c r="B72" s="210"/>
      <c r="C72" s="210"/>
      <c r="D72" s="210"/>
      <c r="E72" s="210"/>
      <c r="F72" s="210"/>
      <c r="G72" s="210"/>
    </row>
    <row r="74" spans="1:7" x14ac:dyDescent="0.5">
      <c r="A74" s="182" t="s">
        <v>116</v>
      </c>
      <c r="B74" s="182"/>
      <c r="C74" s="182"/>
      <c r="D74" s="182"/>
      <c r="E74" s="182"/>
      <c r="F74" s="182"/>
      <c r="G74" s="182"/>
    </row>
    <row r="75" spans="1:7" x14ac:dyDescent="0.5">
      <c r="A75" s="182" t="s">
        <v>46</v>
      </c>
      <c r="B75" s="182"/>
      <c r="C75" s="182"/>
      <c r="D75" s="182"/>
      <c r="E75" s="182"/>
      <c r="F75" s="182"/>
      <c r="G75" s="182"/>
    </row>
    <row r="76" spans="1:7" x14ac:dyDescent="0.5">
      <c r="A76" s="182" t="s">
        <v>239</v>
      </c>
      <c r="B76" s="182"/>
      <c r="C76" s="182"/>
      <c r="D76" s="182"/>
      <c r="E76" s="182"/>
      <c r="F76" s="182"/>
      <c r="G76" s="182"/>
    </row>
    <row r="77" spans="1:7" x14ac:dyDescent="0.5">
      <c r="A77" s="17" t="s">
        <v>36</v>
      </c>
      <c r="B77" s="17" t="s">
        <v>1</v>
      </c>
      <c r="C77" s="17" t="s">
        <v>25</v>
      </c>
      <c r="D77" s="17" t="s">
        <v>47</v>
      </c>
      <c r="E77" s="111" t="s">
        <v>48</v>
      </c>
      <c r="F77" s="17" t="s">
        <v>57</v>
      </c>
      <c r="G77" s="17" t="s">
        <v>49</v>
      </c>
    </row>
    <row r="78" spans="1:7" x14ac:dyDescent="0.5">
      <c r="A78" s="4" t="s">
        <v>50</v>
      </c>
      <c r="B78" s="3">
        <v>230102</v>
      </c>
      <c r="C78" s="2">
        <f>F42</f>
        <v>17892.400000000005</v>
      </c>
      <c r="D78" s="7">
        <v>24885.8</v>
      </c>
      <c r="E78" s="7">
        <v>17892.400000000001</v>
      </c>
      <c r="F78" s="95">
        <f>C78+D78-E78</f>
        <v>24885.800000000003</v>
      </c>
      <c r="G78" s="96"/>
    </row>
    <row r="79" spans="1:7" x14ac:dyDescent="0.5">
      <c r="A79" s="4" t="s">
        <v>51</v>
      </c>
      <c r="B79" s="3">
        <v>230108</v>
      </c>
      <c r="C79" s="2">
        <f t="shared" ref="C79:C95" si="3">F43</f>
        <v>1317804</v>
      </c>
      <c r="D79" s="7">
        <v>4975</v>
      </c>
      <c r="E79" s="97">
        <v>134674</v>
      </c>
      <c r="F79" s="95">
        <f>C79+D79-E79</f>
        <v>1188105</v>
      </c>
      <c r="G79" s="96"/>
    </row>
    <row r="80" spans="1:7" x14ac:dyDescent="0.5">
      <c r="A80" s="4" t="s">
        <v>196</v>
      </c>
      <c r="B80" s="3"/>
      <c r="C80" s="2">
        <f t="shared" si="3"/>
        <v>637150</v>
      </c>
      <c r="D80" s="7"/>
      <c r="E80" s="97">
        <v>637150</v>
      </c>
      <c r="F80" s="95">
        <f t="shared" ref="F80:F95" si="4">C80+D80-E80</f>
        <v>0</v>
      </c>
      <c r="G80" s="96"/>
    </row>
    <row r="81" spans="1:7" x14ac:dyDescent="0.5">
      <c r="A81" s="4" t="s">
        <v>201</v>
      </c>
      <c r="B81" s="3"/>
      <c r="C81" s="2">
        <f t="shared" si="3"/>
        <v>99900</v>
      </c>
      <c r="D81" s="7"/>
      <c r="E81" s="97"/>
      <c r="F81" s="95">
        <f t="shared" si="4"/>
        <v>99900</v>
      </c>
      <c r="G81" s="96"/>
    </row>
    <row r="82" spans="1:7" x14ac:dyDescent="0.5">
      <c r="A82" s="4" t="s">
        <v>202</v>
      </c>
      <c r="B82" s="3"/>
      <c r="C82" s="2">
        <f t="shared" si="3"/>
        <v>49000</v>
      </c>
      <c r="D82" s="7">
        <v>1000</v>
      </c>
      <c r="E82" s="97">
        <v>48000</v>
      </c>
      <c r="F82" s="95">
        <f t="shared" si="4"/>
        <v>2000</v>
      </c>
      <c r="G82" s="96"/>
    </row>
    <row r="83" spans="1:7" x14ac:dyDescent="0.5">
      <c r="A83" s="4" t="s">
        <v>52</v>
      </c>
      <c r="B83" s="3">
        <v>230105</v>
      </c>
      <c r="C83" s="2">
        <f t="shared" si="3"/>
        <v>24789.739999999998</v>
      </c>
      <c r="D83" s="7">
        <v>91.74</v>
      </c>
      <c r="E83" s="97"/>
      <c r="F83" s="95">
        <f t="shared" si="4"/>
        <v>24881.48</v>
      </c>
      <c r="G83" s="96"/>
    </row>
    <row r="84" spans="1:7" x14ac:dyDescent="0.5">
      <c r="A84" s="4" t="s">
        <v>56</v>
      </c>
      <c r="B84" s="3">
        <v>230106</v>
      </c>
      <c r="C84" s="2">
        <f t="shared" si="3"/>
        <v>14410.87</v>
      </c>
      <c r="D84" s="7"/>
      <c r="E84" s="97"/>
      <c r="F84" s="95">
        <f t="shared" si="4"/>
        <v>14410.87</v>
      </c>
      <c r="G84" s="96"/>
    </row>
    <row r="85" spans="1:7" x14ac:dyDescent="0.5">
      <c r="A85" s="4" t="s">
        <v>98</v>
      </c>
      <c r="B85" s="3"/>
      <c r="C85" s="2">
        <f t="shared" si="3"/>
        <v>1173023.2100000002</v>
      </c>
      <c r="D85" s="31"/>
      <c r="E85" s="98">
        <f>430.93+2400+19800</f>
        <v>22630.93</v>
      </c>
      <c r="F85" s="95">
        <f t="shared" si="4"/>
        <v>1150392.2800000003</v>
      </c>
      <c r="G85" s="99"/>
    </row>
    <row r="86" spans="1:7" x14ac:dyDescent="0.5">
      <c r="A86" s="4" t="s">
        <v>193</v>
      </c>
      <c r="B86" s="110"/>
      <c r="C86" s="2">
        <f t="shared" si="3"/>
        <v>0</v>
      </c>
      <c r="D86" s="100">
        <v>2125</v>
      </c>
      <c r="E86" s="100">
        <v>2125</v>
      </c>
      <c r="F86" s="95">
        <f t="shared" si="4"/>
        <v>0</v>
      </c>
      <c r="G86" s="101"/>
    </row>
    <row r="87" spans="1:7" x14ac:dyDescent="0.5">
      <c r="A87" s="4" t="s">
        <v>194</v>
      </c>
      <c r="B87" s="110"/>
      <c r="C87" s="2">
        <f t="shared" si="3"/>
        <v>30184</v>
      </c>
      <c r="D87" s="100">
        <v>30184</v>
      </c>
      <c r="E87" s="100">
        <v>30184</v>
      </c>
      <c r="F87" s="95">
        <f t="shared" si="4"/>
        <v>30184</v>
      </c>
      <c r="G87" s="101"/>
    </row>
    <row r="88" spans="1:7" x14ac:dyDescent="0.5">
      <c r="A88" s="4" t="s">
        <v>102</v>
      </c>
      <c r="B88" s="6"/>
      <c r="C88" s="2">
        <f t="shared" si="3"/>
        <v>0</v>
      </c>
      <c r="D88" s="100">
        <v>48759.5</v>
      </c>
      <c r="E88" s="100">
        <v>48759.5</v>
      </c>
      <c r="F88" s="95">
        <f t="shared" si="4"/>
        <v>0</v>
      </c>
      <c r="G88" s="101"/>
    </row>
    <row r="89" spans="1:7" x14ac:dyDescent="0.5">
      <c r="A89" s="4" t="s">
        <v>103</v>
      </c>
      <c r="B89" s="3"/>
      <c r="C89" s="2">
        <f t="shared" si="3"/>
        <v>0</v>
      </c>
      <c r="D89" s="31">
        <v>24866.84</v>
      </c>
      <c r="E89" s="31">
        <v>24866.84</v>
      </c>
      <c r="F89" s="95">
        <f t="shared" si="4"/>
        <v>0</v>
      </c>
      <c r="G89" s="96"/>
    </row>
    <row r="90" spans="1:7" x14ac:dyDescent="0.5">
      <c r="A90" s="4" t="s">
        <v>89</v>
      </c>
      <c r="B90" s="3"/>
      <c r="C90" s="2">
        <f t="shared" si="3"/>
        <v>0</v>
      </c>
      <c r="D90" s="31">
        <v>62700</v>
      </c>
      <c r="E90" s="31">
        <v>62700</v>
      </c>
      <c r="F90" s="95">
        <f t="shared" si="4"/>
        <v>0</v>
      </c>
      <c r="G90" s="96"/>
    </row>
    <row r="91" spans="1:7" x14ac:dyDescent="0.5">
      <c r="A91" s="4" t="s">
        <v>215</v>
      </c>
      <c r="B91" s="3"/>
      <c r="C91" s="2">
        <f t="shared" si="3"/>
        <v>0</v>
      </c>
      <c r="D91" s="31">
        <v>247450</v>
      </c>
      <c r="E91" s="31">
        <v>247450</v>
      </c>
      <c r="F91" s="95">
        <f t="shared" si="4"/>
        <v>0</v>
      </c>
      <c r="G91" s="96"/>
    </row>
    <row r="92" spans="1:7" x14ac:dyDescent="0.5">
      <c r="A92" s="4" t="s">
        <v>104</v>
      </c>
      <c r="B92" s="16"/>
      <c r="C92" s="2">
        <f t="shared" si="3"/>
        <v>0</v>
      </c>
      <c r="D92" s="102">
        <v>13900</v>
      </c>
      <c r="E92" s="102">
        <v>13900</v>
      </c>
      <c r="F92" s="95">
        <f t="shared" si="4"/>
        <v>0</v>
      </c>
      <c r="G92" s="39"/>
    </row>
    <row r="93" spans="1:7" x14ac:dyDescent="0.5">
      <c r="A93" s="4" t="s">
        <v>123</v>
      </c>
      <c r="B93" s="6"/>
      <c r="C93" s="2">
        <f t="shared" si="3"/>
        <v>0</v>
      </c>
      <c r="D93" s="100">
        <v>75380</v>
      </c>
      <c r="E93" s="100">
        <v>75380</v>
      </c>
      <c r="F93" s="95">
        <f t="shared" si="4"/>
        <v>0</v>
      </c>
      <c r="G93" s="101"/>
    </row>
    <row r="94" spans="1:7" x14ac:dyDescent="0.5">
      <c r="A94" s="4" t="s">
        <v>105</v>
      </c>
      <c r="B94" s="6"/>
      <c r="C94" s="2">
        <f t="shared" si="3"/>
        <v>0</v>
      </c>
      <c r="D94" s="100">
        <v>132</v>
      </c>
      <c r="E94" s="100">
        <v>132</v>
      </c>
      <c r="F94" s="95">
        <f t="shared" si="4"/>
        <v>0</v>
      </c>
      <c r="G94" s="101"/>
    </row>
    <row r="95" spans="1:7" x14ac:dyDescent="0.5">
      <c r="A95" s="81" t="s">
        <v>197</v>
      </c>
      <c r="B95" s="82"/>
      <c r="C95" s="2">
        <f t="shared" si="3"/>
        <v>3633</v>
      </c>
      <c r="D95" s="100">
        <v>0</v>
      </c>
      <c r="E95" s="100">
        <v>0</v>
      </c>
      <c r="F95" s="95">
        <f t="shared" si="4"/>
        <v>3633</v>
      </c>
      <c r="G95" s="103"/>
    </row>
    <row r="96" spans="1:7" ht="24" thickBot="1" x14ac:dyDescent="0.55000000000000004">
      <c r="A96" s="38" t="s">
        <v>43</v>
      </c>
      <c r="B96" s="40"/>
      <c r="C96" s="41">
        <f>SUM(C78:C95)</f>
        <v>3367787.2200000007</v>
      </c>
      <c r="D96" s="20">
        <f>SUM(D78:D95)</f>
        <v>536449.88</v>
      </c>
      <c r="E96" s="20">
        <f>SUM(E78:E95)</f>
        <v>1365844.67</v>
      </c>
      <c r="F96" s="20">
        <f>SUM(F78:F95)</f>
        <v>2538392.4300000006</v>
      </c>
      <c r="G96" s="42"/>
    </row>
    <row r="97" spans="1:7" ht="24" thickTop="1" x14ac:dyDescent="0.5">
      <c r="A97" s="9"/>
      <c r="B97" s="10"/>
      <c r="C97" s="10"/>
      <c r="D97" s="10"/>
      <c r="E97" s="10"/>
      <c r="F97" s="10"/>
      <c r="G97" s="11"/>
    </row>
    <row r="98" spans="1:7" x14ac:dyDescent="0.5">
      <c r="A98" s="8"/>
      <c r="B98" s="211" t="s">
        <v>187</v>
      </c>
      <c r="C98" s="211"/>
      <c r="D98" s="211"/>
      <c r="E98" s="211"/>
      <c r="F98" s="8"/>
      <c r="G98" s="8"/>
    </row>
    <row r="99" spans="1:7" x14ac:dyDescent="0.5">
      <c r="A99" s="210" t="s">
        <v>149</v>
      </c>
      <c r="B99" s="210"/>
      <c r="C99" s="210"/>
      <c r="D99" s="210"/>
      <c r="E99" s="210"/>
      <c r="F99" s="210"/>
      <c r="G99" s="210"/>
    </row>
    <row r="100" spans="1:7" x14ac:dyDescent="0.5">
      <c r="A100" s="210" t="s">
        <v>150</v>
      </c>
      <c r="B100" s="210"/>
      <c r="C100" s="210"/>
      <c r="D100" s="210"/>
      <c r="E100" s="210"/>
      <c r="F100" s="210"/>
      <c r="G100" s="210"/>
    </row>
    <row r="101" spans="1:7" x14ac:dyDescent="0.5">
      <c r="A101" s="8"/>
      <c r="B101" s="8"/>
      <c r="C101" s="8"/>
      <c r="D101" s="8"/>
      <c r="E101" s="8"/>
      <c r="F101" s="8"/>
      <c r="G101" s="8"/>
    </row>
    <row r="102" spans="1:7" x14ac:dyDescent="0.5">
      <c r="A102" s="8"/>
      <c r="B102" s="210" t="s">
        <v>188</v>
      </c>
      <c r="C102" s="210"/>
      <c r="D102" s="210"/>
      <c r="E102" s="210"/>
      <c r="F102" s="8"/>
      <c r="G102" s="8"/>
    </row>
    <row r="103" spans="1:7" x14ac:dyDescent="0.5">
      <c r="A103" s="210" t="s">
        <v>151</v>
      </c>
      <c r="B103" s="210"/>
      <c r="C103" s="210"/>
      <c r="D103" s="210"/>
      <c r="E103" s="210"/>
      <c r="F103" s="210"/>
      <c r="G103" s="210"/>
    </row>
    <row r="104" spans="1:7" x14ac:dyDescent="0.5">
      <c r="A104" s="210" t="s">
        <v>152</v>
      </c>
      <c r="B104" s="210"/>
      <c r="C104" s="210"/>
      <c r="D104" s="210"/>
      <c r="E104" s="210"/>
      <c r="F104" s="210"/>
      <c r="G104" s="210"/>
    </row>
    <row r="105" spans="1:7" x14ac:dyDescent="0.5">
      <c r="A105" s="8"/>
      <c r="B105" s="8"/>
      <c r="C105" s="8"/>
      <c r="D105" s="8"/>
      <c r="E105" s="8"/>
      <c r="F105" s="8"/>
      <c r="G105" s="8"/>
    </row>
    <row r="106" spans="1:7" x14ac:dyDescent="0.5">
      <c r="A106" s="8"/>
      <c r="B106" s="210" t="s">
        <v>189</v>
      </c>
      <c r="C106" s="210"/>
      <c r="D106" s="210"/>
      <c r="E106" s="210"/>
      <c r="F106" s="8"/>
      <c r="G106" s="8"/>
    </row>
    <row r="107" spans="1:7" x14ac:dyDescent="0.5">
      <c r="A107" s="210" t="s">
        <v>191</v>
      </c>
      <c r="B107" s="210"/>
      <c r="C107" s="210"/>
      <c r="D107" s="210"/>
      <c r="E107" s="210"/>
      <c r="F107" s="210"/>
      <c r="G107" s="210"/>
    </row>
    <row r="108" spans="1:7" x14ac:dyDescent="0.5">
      <c r="A108" s="210" t="s">
        <v>192</v>
      </c>
      <c r="B108" s="210"/>
      <c r="C108" s="210"/>
      <c r="D108" s="210"/>
      <c r="E108" s="210"/>
      <c r="F108" s="210"/>
      <c r="G108" s="210"/>
    </row>
    <row r="109" spans="1:7" x14ac:dyDescent="0.5">
      <c r="A109" s="182" t="s">
        <v>116</v>
      </c>
      <c r="B109" s="182"/>
      <c r="C109" s="182"/>
      <c r="D109" s="182"/>
      <c r="E109" s="182"/>
      <c r="F109" s="182"/>
      <c r="G109" s="182"/>
    </row>
    <row r="110" spans="1:7" x14ac:dyDescent="0.5">
      <c r="A110" s="182" t="s">
        <v>46</v>
      </c>
      <c r="B110" s="182"/>
      <c r="C110" s="182"/>
      <c r="D110" s="182"/>
      <c r="E110" s="182"/>
      <c r="F110" s="182"/>
      <c r="G110" s="182"/>
    </row>
    <row r="111" spans="1:7" x14ac:dyDescent="0.5">
      <c r="A111" s="182" t="s">
        <v>249</v>
      </c>
      <c r="B111" s="182"/>
      <c r="C111" s="182"/>
      <c r="D111" s="182"/>
      <c r="E111" s="182"/>
      <c r="F111" s="182"/>
      <c r="G111" s="182"/>
    </row>
    <row r="112" spans="1:7" x14ac:dyDescent="0.5">
      <c r="A112" s="17" t="s">
        <v>36</v>
      </c>
      <c r="B112" s="17" t="s">
        <v>1</v>
      </c>
      <c r="C112" s="17" t="s">
        <v>25</v>
      </c>
      <c r="D112" s="17" t="s">
        <v>47</v>
      </c>
      <c r="E112" s="127" t="s">
        <v>48</v>
      </c>
      <c r="F112" s="17" t="s">
        <v>57</v>
      </c>
      <c r="G112" s="17" t="s">
        <v>49</v>
      </c>
    </row>
    <row r="113" spans="1:7" x14ac:dyDescent="0.5">
      <c r="A113" s="4" t="s">
        <v>50</v>
      </c>
      <c r="B113" s="3">
        <v>230102</v>
      </c>
      <c r="C113" s="2">
        <f>F78</f>
        <v>24885.800000000003</v>
      </c>
      <c r="D113" s="7">
        <v>84183.69</v>
      </c>
      <c r="E113" s="7">
        <v>109069.49</v>
      </c>
      <c r="F113" s="95">
        <f>C113+D113-E113</f>
        <v>0</v>
      </c>
      <c r="G113" s="96"/>
    </row>
    <row r="114" spans="1:7" x14ac:dyDescent="0.5">
      <c r="A114" s="4" t="s">
        <v>51</v>
      </c>
      <c r="B114" s="3">
        <v>230108</v>
      </c>
      <c r="C114" s="2">
        <f t="shared" ref="C114:C130" si="5">F79</f>
        <v>1188105</v>
      </c>
      <c r="D114" s="7">
        <v>20000</v>
      </c>
      <c r="E114" s="97">
        <v>127890</v>
      </c>
      <c r="F114" s="95">
        <f>C114+D114-E114</f>
        <v>1080215</v>
      </c>
      <c r="G114" s="96"/>
    </row>
    <row r="115" spans="1:7" x14ac:dyDescent="0.5">
      <c r="A115" s="4" t="s">
        <v>196</v>
      </c>
      <c r="B115" s="3"/>
      <c r="C115" s="2">
        <f t="shared" si="5"/>
        <v>0</v>
      </c>
      <c r="D115" s="7">
        <v>839761</v>
      </c>
      <c r="E115" s="97">
        <v>105000</v>
      </c>
      <c r="F115" s="95">
        <f t="shared" ref="F115:F130" si="6">C115+D115-E115</f>
        <v>734761</v>
      </c>
      <c r="G115" s="96"/>
    </row>
    <row r="116" spans="1:7" x14ac:dyDescent="0.5">
      <c r="A116" s="4" t="s">
        <v>201</v>
      </c>
      <c r="B116" s="3"/>
      <c r="C116" s="2">
        <f t="shared" si="5"/>
        <v>99900</v>
      </c>
      <c r="D116" s="7"/>
      <c r="E116" s="97"/>
      <c r="F116" s="95">
        <f t="shared" si="6"/>
        <v>99900</v>
      </c>
      <c r="G116" s="96"/>
    </row>
    <row r="117" spans="1:7" x14ac:dyDescent="0.5">
      <c r="A117" s="4" t="s">
        <v>202</v>
      </c>
      <c r="B117" s="3"/>
      <c r="C117" s="2">
        <f t="shared" si="5"/>
        <v>2000</v>
      </c>
      <c r="D117" s="7">
        <v>14000</v>
      </c>
      <c r="E117" s="97"/>
      <c r="F117" s="95">
        <f>C117+D117</f>
        <v>16000</v>
      </c>
      <c r="G117" s="96"/>
    </row>
    <row r="118" spans="1:7" x14ac:dyDescent="0.5">
      <c r="A118" s="4" t="s">
        <v>52</v>
      </c>
      <c r="B118" s="3">
        <v>230105</v>
      </c>
      <c r="C118" s="2">
        <f t="shared" si="5"/>
        <v>24881.48</v>
      </c>
      <c r="D118" s="7">
        <v>342.82</v>
      </c>
      <c r="E118" s="97"/>
      <c r="F118" s="95">
        <f t="shared" si="6"/>
        <v>25224.3</v>
      </c>
      <c r="G118" s="96"/>
    </row>
    <row r="119" spans="1:7" x14ac:dyDescent="0.5">
      <c r="A119" s="4" t="s">
        <v>56</v>
      </c>
      <c r="B119" s="3">
        <v>230106</v>
      </c>
      <c r="C119" s="2">
        <f t="shared" si="5"/>
        <v>14410.87</v>
      </c>
      <c r="D119" s="7"/>
      <c r="E119" s="97"/>
      <c r="F119" s="95">
        <f t="shared" si="6"/>
        <v>14410.87</v>
      </c>
      <c r="G119" s="96"/>
    </row>
    <row r="120" spans="1:7" x14ac:dyDescent="0.5">
      <c r="A120" s="4" t="s">
        <v>98</v>
      </c>
      <c r="B120" s="3"/>
      <c r="C120" s="2">
        <f t="shared" si="5"/>
        <v>1150392.2800000003</v>
      </c>
      <c r="D120" s="31"/>
      <c r="E120" s="98">
        <f>204.07+35663.55+46700</f>
        <v>82567.62</v>
      </c>
      <c r="F120" s="95">
        <f t="shared" si="6"/>
        <v>1067824.6600000001</v>
      </c>
      <c r="G120" s="99"/>
    </row>
    <row r="121" spans="1:7" x14ac:dyDescent="0.5">
      <c r="A121" s="4" t="s">
        <v>193</v>
      </c>
      <c r="B121" s="122"/>
      <c r="C121" s="2">
        <f t="shared" si="5"/>
        <v>0</v>
      </c>
      <c r="D121" s="100"/>
      <c r="E121" s="100"/>
      <c r="F121" s="95">
        <f t="shared" si="6"/>
        <v>0</v>
      </c>
      <c r="G121" s="101"/>
    </row>
    <row r="122" spans="1:7" x14ac:dyDescent="0.5">
      <c r="A122" s="4" t="s">
        <v>194</v>
      </c>
      <c r="B122" s="122"/>
      <c r="C122" s="2">
        <f t="shared" si="5"/>
        <v>30184</v>
      </c>
      <c r="D122" s="100">
        <v>30184</v>
      </c>
      <c r="E122" s="100">
        <v>60368</v>
      </c>
      <c r="F122" s="95">
        <f t="shared" si="6"/>
        <v>0</v>
      </c>
      <c r="G122" s="101"/>
    </row>
    <row r="123" spans="1:7" x14ac:dyDescent="0.5">
      <c r="A123" s="4" t="s">
        <v>102</v>
      </c>
      <c r="B123" s="6"/>
      <c r="C123" s="2">
        <f t="shared" si="5"/>
        <v>0</v>
      </c>
      <c r="D123" s="100">
        <v>48656</v>
      </c>
      <c r="E123" s="100">
        <v>48656</v>
      </c>
      <c r="F123" s="95">
        <f t="shared" si="6"/>
        <v>0</v>
      </c>
      <c r="G123" s="101"/>
    </row>
    <row r="124" spans="1:7" x14ac:dyDescent="0.5">
      <c r="A124" s="4" t="s">
        <v>103</v>
      </c>
      <c r="B124" s="3"/>
      <c r="C124" s="2">
        <f t="shared" si="5"/>
        <v>0</v>
      </c>
      <c r="D124" s="31">
        <v>27426.5</v>
      </c>
      <c r="E124" s="31">
        <v>27426.5</v>
      </c>
      <c r="F124" s="95">
        <f t="shared" si="6"/>
        <v>0</v>
      </c>
      <c r="G124" s="96"/>
    </row>
    <row r="125" spans="1:7" x14ac:dyDescent="0.5">
      <c r="A125" s="4" t="s">
        <v>89</v>
      </c>
      <c r="B125" s="3"/>
      <c r="C125" s="2">
        <f t="shared" si="5"/>
        <v>0</v>
      </c>
      <c r="D125" s="31">
        <v>55100</v>
      </c>
      <c r="E125" s="31">
        <v>55100</v>
      </c>
      <c r="F125" s="95">
        <f t="shared" si="6"/>
        <v>0</v>
      </c>
      <c r="G125" s="96"/>
    </row>
    <row r="126" spans="1:7" x14ac:dyDescent="0.5">
      <c r="A126" s="4" t="s">
        <v>215</v>
      </c>
      <c r="B126" s="3"/>
      <c r="C126" s="2">
        <f t="shared" si="5"/>
        <v>0</v>
      </c>
      <c r="D126" s="31">
        <v>247450</v>
      </c>
      <c r="E126" s="31">
        <v>247450</v>
      </c>
      <c r="F126" s="95">
        <f t="shared" si="6"/>
        <v>0</v>
      </c>
      <c r="G126" s="96"/>
    </row>
    <row r="127" spans="1:7" x14ac:dyDescent="0.5">
      <c r="A127" s="4" t="s">
        <v>104</v>
      </c>
      <c r="B127" s="16"/>
      <c r="C127" s="2">
        <f t="shared" si="5"/>
        <v>0</v>
      </c>
      <c r="D127" s="102">
        <v>20800</v>
      </c>
      <c r="E127" s="102">
        <v>20800</v>
      </c>
      <c r="F127" s="95">
        <f t="shared" si="6"/>
        <v>0</v>
      </c>
      <c r="G127" s="39"/>
    </row>
    <row r="128" spans="1:7" x14ac:dyDescent="0.5">
      <c r="A128" s="4" t="s">
        <v>123</v>
      </c>
      <c r="B128" s="6"/>
      <c r="C128" s="2">
        <f t="shared" si="5"/>
        <v>0</v>
      </c>
      <c r="D128" s="100">
        <v>71590</v>
      </c>
      <c r="E128" s="100">
        <v>71590</v>
      </c>
      <c r="F128" s="95">
        <f t="shared" si="6"/>
        <v>0</v>
      </c>
      <c r="G128" s="101"/>
    </row>
    <row r="129" spans="1:7" x14ac:dyDescent="0.5">
      <c r="A129" s="4" t="s">
        <v>105</v>
      </c>
      <c r="B129" s="6"/>
      <c r="C129" s="2">
        <f t="shared" si="5"/>
        <v>0</v>
      </c>
      <c r="D129" s="100">
        <v>180</v>
      </c>
      <c r="E129" s="100">
        <v>180</v>
      </c>
      <c r="F129" s="95">
        <f t="shared" si="6"/>
        <v>0</v>
      </c>
      <c r="G129" s="101"/>
    </row>
    <row r="130" spans="1:7" x14ac:dyDescent="0.5">
      <c r="A130" s="81" t="s">
        <v>197</v>
      </c>
      <c r="B130" s="82"/>
      <c r="C130" s="2">
        <f t="shared" si="5"/>
        <v>3633</v>
      </c>
      <c r="D130" s="100">
        <v>0</v>
      </c>
      <c r="E130" s="100">
        <v>0</v>
      </c>
      <c r="F130" s="95">
        <f t="shared" si="6"/>
        <v>3633</v>
      </c>
      <c r="G130" s="103"/>
    </row>
    <row r="131" spans="1:7" ht="24" thickBot="1" x14ac:dyDescent="0.55000000000000004">
      <c r="A131" s="38" t="s">
        <v>43</v>
      </c>
      <c r="B131" s="40"/>
      <c r="C131" s="41">
        <f>SUM(C113:C130)</f>
        <v>2538392.4300000006</v>
      </c>
      <c r="D131" s="20">
        <f>SUM(D113:D130)</f>
        <v>1459674.0099999998</v>
      </c>
      <c r="E131" s="20">
        <f>SUM(E113:E130)</f>
        <v>956097.61</v>
      </c>
      <c r="F131" s="20">
        <f>SUM(F113:F130)</f>
        <v>3041968.83</v>
      </c>
      <c r="G131" s="42"/>
    </row>
    <row r="132" spans="1:7" ht="24" thickTop="1" x14ac:dyDescent="0.5">
      <c r="A132" s="9"/>
      <c r="B132" s="10"/>
      <c r="C132" s="10"/>
      <c r="D132" s="10"/>
      <c r="E132" s="10"/>
      <c r="F132" s="10"/>
      <c r="G132" s="11"/>
    </row>
    <row r="133" spans="1:7" x14ac:dyDescent="0.5">
      <c r="A133" s="8"/>
      <c r="B133" s="211" t="s">
        <v>187</v>
      </c>
      <c r="C133" s="211"/>
      <c r="D133" s="211"/>
      <c r="E133" s="211"/>
      <c r="F133" s="8"/>
      <c r="G133" s="8"/>
    </row>
    <row r="134" spans="1:7" x14ac:dyDescent="0.5">
      <c r="A134" s="210" t="s">
        <v>149</v>
      </c>
      <c r="B134" s="210"/>
      <c r="C134" s="210"/>
      <c r="D134" s="210"/>
      <c r="E134" s="210"/>
      <c r="F134" s="210"/>
      <c r="G134" s="210"/>
    </row>
    <row r="135" spans="1:7" x14ac:dyDescent="0.5">
      <c r="A135" s="210" t="s">
        <v>150</v>
      </c>
      <c r="B135" s="210"/>
      <c r="C135" s="210"/>
      <c r="D135" s="210"/>
      <c r="E135" s="210"/>
      <c r="F135" s="210"/>
      <c r="G135" s="210"/>
    </row>
    <row r="136" spans="1:7" x14ac:dyDescent="0.5">
      <c r="A136" s="8"/>
      <c r="B136" s="8"/>
      <c r="C136" s="8"/>
      <c r="D136" s="8"/>
      <c r="E136" s="8"/>
      <c r="F136" s="8"/>
      <c r="G136" s="8"/>
    </row>
    <row r="137" spans="1:7" x14ac:dyDescent="0.5">
      <c r="A137" s="8"/>
      <c r="B137" s="210" t="s">
        <v>188</v>
      </c>
      <c r="C137" s="210"/>
      <c r="D137" s="210"/>
      <c r="E137" s="210"/>
      <c r="F137" s="8"/>
      <c r="G137" s="8"/>
    </row>
    <row r="138" spans="1:7" x14ac:dyDescent="0.5">
      <c r="A138" s="210" t="s">
        <v>266</v>
      </c>
      <c r="B138" s="210"/>
      <c r="C138" s="210"/>
      <c r="D138" s="210"/>
      <c r="E138" s="210"/>
      <c r="F138" s="210"/>
      <c r="G138" s="210"/>
    </row>
    <row r="139" spans="1:7" x14ac:dyDescent="0.5">
      <c r="A139" s="210" t="s">
        <v>267</v>
      </c>
      <c r="B139" s="210"/>
      <c r="C139" s="210"/>
      <c r="D139" s="210"/>
      <c r="E139" s="210"/>
      <c r="F139" s="210"/>
      <c r="G139" s="210"/>
    </row>
    <row r="140" spans="1:7" x14ac:dyDescent="0.5">
      <c r="A140" s="128"/>
      <c r="B140" s="128"/>
      <c r="C140" s="128"/>
      <c r="D140" s="128" t="s">
        <v>268</v>
      </c>
      <c r="E140" s="128"/>
      <c r="F140" s="128"/>
      <c r="G140" s="128"/>
    </row>
    <row r="141" spans="1:7" x14ac:dyDescent="0.5">
      <c r="A141" s="8"/>
      <c r="B141" s="8"/>
      <c r="C141" s="8"/>
      <c r="D141" s="8"/>
      <c r="E141" s="8"/>
      <c r="F141" s="8"/>
      <c r="G141" s="8"/>
    </row>
    <row r="142" spans="1:7" x14ac:dyDescent="0.5">
      <c r="A142" s="8"/>
      <c r="B142" s="210" t="s">
        <v>189</v>
      </c>
      <c r="C142" s="210"/>
      <c r="D142" s="210"/>
      <c r="E142" s="210"/>
      <c r="F142" s="8"/>
      <c r="G142" s="8"/>
    </row>
    <row r="143" spans="1:7" x14ac:dyDescent="0.5">
      <c r="A143" s="210" t="s">
        <v>191</v>
      </c>
      <c r="B143" s="210"/>
      <c r="C143" s="210"/>
      <c r="D143" s="210"/>
      <c r="E143" s="210"/>
      <c r="F143" s="210"/>
      <c r="G143" s="210"/>
    </row>
    <row r="144" spans="1:7" x14ac:dyDescent="0.5">
      <c r="A144" s="210" t="s">
        <v>192</v>
      </c>
      <c r="B144" s="210"/>
      <c r="C144" s="210"/>
      <c r="D144" s="210"/>
      <c r="E144" s="210"/>
      <c r="F144" s="210"/>
      <c r="G144" s="210"/>
    </row>
    <row r="145" spans="1:7" x14ac:dyDescent="0.5">
      <c r="A145" s="182" t="s">
        <v>116</v>
      </c>
      <c r="B145" s="182"/>
      <c r="C145" s="182"/>
      <c r="D145" s="182"/>
      <c r="E145" s="182"/>
      <c r="F145" s="182"/>
      <c r="G145" s="182"/>
    </row>
    <row r="146" spans="1:7" x14ac:dyDescent="0.5">
      <c r="A146" s="182" t="s">
        <v>46</v>
      </c>
      <c r="B146" s="182"/>
      <c r="C146" s="182"/>
      <c r="D146" s="182"/>
      <c r="E146" s="182"/>
      <c r="F146" s="182"/>
      <c r="G146" s="182"/>
    </row>
    <row r="147" spans="1:7" x14ac:dyDescent="0.5">
      <c r="A147" s="182" t="s">
        <v>272</v>
      </c>
      <c r="B147" s="182"/>
      <c r="C147" s="182"/>
      <c r="D147" s="182"/>
      <c r="E147" s="182"/>
      <c r="F147" s="182"/>
      <c r="G147" s="182"/>
    </row>
    <row r="148" spans="1:7" x14ac:dyDescent="0.5">
      <c r="A148" s="17" t="s">
        <v>36</v>
      </c>
      <c r="B148" s="17" t="s">
        <v>1</v>
      </c>
      <c r="C148" s="17" t="s">
        <v>25</v>
      </c>
      <c r="D148" s="17" t="s">
        <v>47</v>
      </c>
      <c r="E148" s="137" t="s">
        <v>48</v>
      </c>
      <c r="F148" s="17" t="s">
        <v>57</v>
      </c>
      <c r="G148" s="17" t="s">
        <v>49</v>
      </c>
    </row>
    <row r="149" spans="1:7" x14ac:dyDescent="0.5">
      <c r="A149" s="4" t="s">
        <v>50</v>
      </c>
      <c r="B149" s="3">
        <v>230102</v>
      </c>
      <c r="C149" s="2">
        <f>F113</f>
        <v>0</v>
      </c>
      <c r="D149" s="7">
        <v>10957.05</v>
      </c>
      <c r="E149" s="7"/>
      <c r="F149" s="95">
        <f>C149+D149-E149</f>
        <v>10957.05</v>
      </c>
      <c r="G149" s="96"/>
    </row>
    <row r="150" spans="1:7" x14ac:dyDescent="0.5">
      <c r="A150" s="4" t="s">
        <v>51</v>
      </c>
      <c r="B150" s="3">
        <v>230108</v>
      </c>
      <c r="C150" s="2">
        <f t="shared" ref="C150:C157" si="7">F114</f>
        <v>1080215</v>
      </c>
      <c r="D150" s="7">
        <v>140850</v>
      </c>
      <c r="E150" s="97">
        <v>93545</v>
      </c>
      <c r="F150" s="95">
        <f>C150+D150-E150</f>
        <v>1127520</v>
      </c>
      <c r="G150" s="96"/>
    </row>
    <row r="151" spans="1:7" x14ac:dyDescent="0.5">
      <c r="A151" s="4" t="s">
        <v>196</v>
      </c>
      <c r="B151" s="3"/>
      <c r="C151" s="2">
        <f t="shared" si="7"/>
        <v>734761</v>
      </c>
      <c r="D151" s="7"/>
      <c r="E151" s="97">
        <v>656061</v>
      </c>
      <c r="F151" s="95">
        <f t="shared" ref="F151:F152" si="8">C151+D151-E151</f>
        <v>78700</v>
      </c>
      <c r="G151" s="96"/>
    </row>
    <row r="152" spans="1:7" x14ac:dyDescent="0.5">
      <c r="A152" s="4" t="s">
        <v>201</v>
      </c>
      <c r="B152" s="3"/>
      <c r="C152" s="2">
        <f t="shared" si="7"/>
        <v>99900</v>
      </c>
      <c r="D152" s="7"/>
      <c r="E152" s="97"/>
      <c r="F152" s="95">
        <f t="shared" si="8"/>
        <v>99900</v>
      </c>
      <c r="G152" s="96"/>
    </row>
    <row r="153" spans="1:7" x14ac:dyDescent="0.5">
      <c r="A153" s="4" t="s">
        <v>202</v>
      </c>
      <c r="B153" s="3"/>
      <c r="C153" s="2">
        <f t="shared" si="7"/>
        <v>16000</v>
      </c>
      <c r="D153" s="7">
        <v>27500</v>
      </c>
      <c r="E153" s="97">
        <v>39500</v>
      </c>
      <c r="F153" s="95">
        <f>C153+D153</f>
        <v>43500</v>
      </c>
      <c r="G153" s="96"/>
    </row>
    <row r="154" spans="1:7" x14ac:dyDescent="0.5">
      <c r="A154" s="4" t="s">
        <v>52</v>
      </c>
      <c r="B154" s="3">
        <v>230105</v>
      </c>
      <c r="C154" s="2">
        <f t="shared" si="7"/>
        <v>25224.3</v>
      </c>
      <c r="D154" s="7">
        <v>604.4</v>
      </c>
      <c r="E154" s="97"/>
      <c r="F154" s="95">
        <f t="shared" ref="F154:F170" si="9">C154+D154-E154</f>
        <v>25828.7</v>
      </c>
      <c r="G154" s="96"/>
    </row>
    <row r="155" spans="1:7" x14ac:dyDescent="0.5">
      <c r="A155" s="4" t="s">
        <v>56</v>
      </c>
      <c r="B155" s="3">
        <v>230106</v>
      </c>
      <c r="C155" s="2">
        <f t="shared" si="7"/>
        <v>14410.87</v>
      </c>
      <c r="D155" s="7"/>
      <c r="E155" s="97"/>
      <c r="F155" s="95">
        <f t="shared" si="9"/>
        <v>14410.87</v>
      </c>
      <c r="G155" s="96"/>
    </row>
    <row r="156" spans="1:7" x14ac:dyDescent="0.5">
      <c r="A156" s="4" t="s">
        <v>98</v>
      </c>
      <c r="B156" s="3"/>
      <c r="C156" s="2">
        <f t="shared" si="7"/>
        <v>1067824.6600000001</v>
      </c>
      <c r="D156" s="31"/>
      <c r="E156" s="98">
        <v>22336.45</v>
      </c>
      <c r="F156" s="95">
        <f t="shared" si="9"/>
        <v>1045488.2100000002</v>
      </c>
      <c r="G156" s="99"/>
    </row>
    <row r="157" spans="1:7" x14ac:dyDescent="0.5">
      <c r="A157" s="4" t="s">
        <v>193</v>
      </c>
      <c r="B157" s="131"/>
      <c r="C157" s="2">
        <f t="shared" si="7"/>
        <v>0</v>
      </c>
      <c r="D157" s="100">
        <v>1911</v>
      </c>
      <c r="E157" s="100"/>
      <c r="F157" s="95">
        <f t="shared" si="9"/>
        <v>1911</v>
      </c>
      <c r="G157" s="101"/>
    </row>
    <row r="158" spans="1:7" x14ac:dyDescent="0.5">
      <c r="A158" s="4" t="s">
        <v>274</v>
      </c>
      <c r="B158" s="140"/>
      <c r="C158" s="2">
        <f>F121</f>
        <v>0</v>
      </c>
      <c r="D158" s="100">
        <v>1320</v>
      </c>
      <c r="E158" s="100">
        <v>1320</v>
      </c>
      <c r="F158" s="95">
        <f t="shared" ref="F158" si="10">C158+D158-E158</f>
        <v>0</v>
      </c>
      <c r="G158" s="101"/>
    </row>
    <row r="159" spans="1:7" x14ac:dyDescent="0.5">
      <c r="A159" s="4" t="s">
        <v>275</v>
      </c>
      <c r="B159" s="140"/>
      <c r="C159" s="2">
        <f>F122</f>
        <v>0</v>
      </c>
      <c r="D159" s="100">
        <v>96855.25</v>
      </c>
      <c r="E159" s="100">
        <v>96855.25</v>
      </c>
      <c r="F159" s="95">
        <f t="shared" ref="F159" si="11">C159+D159-E159</f>
        <v>0</v>
      </c>
      <c r="G159" s="101"/>
    </row>
    <row r="160" spans="1:7" x14ac:dyDescent="0.5">
      <c r="A160" s="4" t="s">
        <v>276</v>
      </c>
      <c r="B160" s="140"/>
      <c r="C160" s="2">
        <f>F123</f>
        <v>0</v>
      </c>
      <c r="D160" s="100">
        <v>7674.13</v>
      </c>
      <c r="E160" s="100"/>
      <c r="F160" s="95">
        <f t="shared" ref="F160" si="12">C160+D160-E160</f>
        <v>7674.13</v>
      </c>
      <c r="G160" s="101"/>
    </row>
    <row r="161" spans="1:7" x14ac:dyDescent="0.5">
      <c r="A161" s="4" t="s">
        <v>194</v>
      </c>
      <c r="B161" s="131"/>
      <c r="C161" s="2">
        <f>F122</f>
        <v>0</v>
      </c>
      <c r="D161" s="100">
        <v>30184</v>
      </c>
      <c r="E161" s="100"/>
      <c r="F161" s="95">
        <f t="shared" si="9"/>
        <v>30184</v>
      </c>
      <c r="G161" s="101"/>
    </row>
    <row r="162" spans="1:7" x14ac:dyDescent="0.5">
      <c r="A162" s="4" t="s">
        <v>102</v>
      </c>
      <c r="B162" s="6"/>
      <c r="C162" s="2">
        <f>F123</f>
        <v>0</v>
      </c>
      <c r="D162" s="100">
        <v>48462.25</v>
      </c>
      <c r="E162" s="100">
        <v>48462.25</v>
      </c>
      <c r="F162" s="95">
        <f t="shared" si="9"/>
        <v>0</v>
      </c>
      <c r="G162" s="101"/>
    </row>
    <row r="163" spans="1:7" x14ac:dyDescent="0.5">
      <c r="A163" s="4" t="s">
        <v>277</v>
      </c>
      <c r="B163" s="3"/>
      <c r="C163" s="2">
        <f>F124</f>
        <v>0</v>
      </c>
      <c r="D163" s="31">
        <v>7500</v>
      </c>
      <c r="E163" s="31">
        <v>7500</v>
      </c>
      <c r="F163" s="95">
        <f t="shared" si="9"/>
        <v>0</v>
      </c>
      <c r="G163" s="96"/>
    </row>
    <row r="164" spans="1:7" x14ac:dyDescent="0.5">
      <c r="A164" s="4" t="s">
        <v>103</v>
      </c>
      <c r="B164" s="3"/>
      <c r="C164" s="2">
        <f>F125</f>
        <v>0</v>
      </c>
      <c r="D164" s="31">
        <v>30598.94</v>
      </c>
      <c r="E164" s="31">
        <v>30598.94</v>
      </c>
      <c r="F164" s="95">
        <f t="shared" ref="F164" si="13">C164+D164-E164</f>
        <v>0</v>
      </c>
      <c r="G164" s="96"/>
    </row>
    <row r="165" spans="1:7" x14ac:dyDescent="0.5">
      <c r="A165" s="4" t="s">
        <v>89</v>
      </c>
      <c r="B165" s="3"/>
      <c r="C165" s="2">
        <f t="shared" ref="C165:C170" si="14">F125</f>
        <v>0</v>
      </c>
      <c r="D165" s="31">
        <v>94100</v>
      </c>
      <c r="E165" s="31">
        <v>94100</v>
      </c>
      <c r="F165" s="95">
        <f t="shared" si="9"/>
        <v>0</v>
      </c>
      <c r="G165" s="96"/>
    </row>
    <row r="166" spans="1:7" x14ac:dyDescent="0.5">
      <c r="A166" s="4" t="s">
        <v>167</v>
      </c>
      <c r="B166" s="3"/>
      <c r="C166" s="2">
        <f t="shared" si="14"/>
        <v>0</v>
      </c>
      <c r="D166" s="31">
        <v>247450</v>
      </c>
      <c r="E166" s="31">
        <v>247450</v>
      </c>
      <c r="F166" s="95">
        <f t="shared" si="9"/>
        <v>0</v>
      </c>
      <c r="G166" s="96"/>
    </row>
    <row r="167" spans="1:7" x14ac:dyDescent="0.5">
      <c r="A167" s="4" t="s">
        <v>104</v>
      </c>
      <c r="B167" s="16"/>
      <c r="C167" s="2">
        <f t="shared" si="14"/>
        <v>0</v>
      </c>
      <c r="D167" s="102">
        <v>20800</v>
      </c>
      <c r="E167" s="102">
        <v>20800</v>
      </c>
      <c r="F167" s="95">
        <f t="shared" si="9"/>
        <v>0</v>
      </c>
      <c r="G167" s="39"/>
    </row>
    <row r="168" spans="1:7" x14ac:dyDescent="0.5">
      <c r="A168" s="4" t="s">
        <v>123</v>
      </c>
      <c r="B168" s="6"/>
      <c r="C168" s="2">
        <f t="shared" si="14"/>
        <v>0</v>
      </c>
      <c r="D168" s="100">
        <v>71590</v>
      </c>
      <c r="E168" s="100">
        <v>71590</v>
      </c>
      <c r="F168" s="95">
        <f t="shared" si="9"/>
        <v>0</v>
      </c>
      <c r="G168" s="101"/>
    </row>
    <row r="169" spans="1:7" x14ac:dyDescent="0.5">
      <c r="A169" s="4" t="s">
        <v>105</v>
      </c>
      <c r="B169" s="6"/>
      <c r="C169" s="2">
        <f t="shared" si="14"/>
        <v>0</v>
      </c>
      <c r="D169" s="100">
        <v>192</v>
      </c>
      <c r="E169" s="100">
        <v>192</v>
      </c>
      <c r="F169" s="95">
        <f t="shared" si="9"/>
        <v>0</v>
      </c>
      <c r="G169" s="101"/>
    </row>
    <row r="170" spans="1:7" x14ac:dyDescent="0.5">
      <c r="A170" s="81" t="s">
        <v>197</v>
      </c>
      <c r="B170" s="82"/>
      <c r="C170" s="2">
        <f t="shared" si="14"/>
        <v>3633</v>
      </c>
      <c r="D170" s="100">
        <v>0</v>
      </c>
      <c r="E170" s="100">
        <v>0</v>
      </c>
      <c r="F170" s="95">
        <f t="shared" si="9"/>
        <v>3633</v>
      </c>
      <c r="G170" s="103"/>
    </row>
    <row r="171" spans="1:7" ht="24" thickBot="1" x14ac:dyDescent="0.55000000000000004">
      <c r="A171" s="38" t="s">
        <v>43</v>
      </c>
      <c r="B171" s="40"/>
      <c r="C171" s="41">
        <f>SUM(C149:C170)</f>
        <v>3041968.83</v>
      </c>
      <c r="D171" s="20">
        <f>SUM(D149:D170)</f>
        <v>838549.02</v>
      </c>
      <c r="E171" s="20">
        <f>SUM(E149:E170)</f>
        <v>1430310.89</v>
      </c>
      <c r="F171" s="20">
        <f>SUM(F149:F170)</f>
        <v>2489706.96</v>
      </c>
      <c r="G171" s="42"/>
    </row>
    <row r="172" spans="1:7" ht="24" thickTop="1" x14ac:dyDescent="0.5">
      <c r="A172" s="9"/>
      <c r="B172" s="10"/>
      <c r="C172" s="10"/>
      <c r="D172" s="10"/>
      <c r="E172" s="10"/>
      <c r="F172" s="10"/>
      <c r="G172" s="11"/>
    </row>
    <row r="173" spans="1:7" x14ac:dyDescent="0.5">
      <c r="A173" s="8"/>
      <c r="B173" s="211" t="s">
        <v>187</v>
      </c>
      <c r="C173" s="211"/>
      <c r="D173" s="211"/>
      <c r="E173" s="211"/>
      <c r="F173" s="8"/>
      <c r="G173" s="8"/>
    </row>
    <row r="174" spans="1:7" x14ac:dyDescent="0.5">
      <c r="A174" s="210" t="s">
        <v>149</v>
      </c>
      <c r="B174" s="210"/>
      <c r="C174" s="210"/>
      <c r="D174" s="210"/>
      <c r="E174" s="210"/>
      <c r="F174" s="210"/>
      <c r="G174" s="210"/>
    </row>
    <row r="175" spans="1:7" x14ac:dyDescent="0.5">
      <c r="A175" s="210" t="s">
        <v>150</v>
      </c>
      <c r="B175" s="210"/>
      <c r="C175" s="210"/>
      <c r="D175" s="210"/>
      <c r="E175" s="210"/>
      <c r="F175" s="210"/>
      <c r="G175" s="210"/>
    </row>
    <row r="176" spans="1:7" x14ac:dyDescent="0.5">
      <c r="A176" s="8"/>
      <c r="B176" s="8"/>
      <c r="C176" s="8"/>
      <c r="D176" s="8"/>
      <c r="E176" s="8"/>
      <c r="F176" s="8"/>
      <c r="G176" s="8"/>
    </row>
    <row r="177" spans="1:7" x14ac:dyDescent="0.5">
      <c r="A177" s="8"/>
      <c r="B177" s="210" t="s">
        <v>188</v>
      </c>
      <c r="C177" s="210"/>
      <c r="D177" s="210"/>
      <c r="E177" s="210"/>
      <c r="F177" s="8"/>
      <c r="G177" s="8"/>
    </row>
    <row r="178" spans="1:7" x14ac:dyDescent="0.5">
      <c r="A178" s="210" t="s">
        <v>266</v>
      </c>
      <c r="B178" s="210"/>
      <c r="C178" s="210"/>
      <c r="D178" s="210"/>
      <c r="E178" s="210"/>
      <c r="F178" s="210"/>
      <c r="G178" s="210"/>
    </row>
    <row r="179" spans="1:7" x14ac:dyDescent="0.5">
      <c r="A179" s="210" t="s">
        <v>267</v>
      </c>
      <c r="B179" s="210"/>
      <c r="C179" s="210"/>
      <c r="D179" s="210"/>
      <c r="E179" s="210"/>
      <c r="F179" s="210"/>
      <c r="G179" s="210"/>
    </row>
    <row r="180" spans="1:7" x14ac:dyDescent="0.5">
      <c r="A180" s="136"/>
      <c r="B180" s="136"/>
      <c r="C180" s="136"/>
      <c r="D180" s="136" t="s">
        <v>268</v>
      </c>
      <c r="E180" s="136"/>
      <c r="F180" s="136"/>
      <c r="G180" s="136"/>
    </row>
  </sheetData>
  <mergeCells count="57">
    <mergeCell ref="A175:G175"/>
    <mergeCell ref="B177:E177"/>
    <mergeCell ref="A178:G178"/>
    <mergeCell ref="A179:G179"/>
    <mergeCell ref="A145:G145"/>
    <mergeCell ref="A146:G146"/>
    <mergeCell ref="A147:G147"/>
    <mergeCell ref="B173:E173"/>
    <mergeCell ref="A174:G174"/>
    <mergeCell ref="A143:G143"/>
    <mergeCell ref="A144:G144"/>
    <mergeCell ref="A135:G135"/>
    <mergeCell ref="B137:E137"/>
    <mergeCell ref="A138:G138"/>
    <mergeCell ref="A139:G139"/>
    <mergeCell ref="B142:E142"/>
    <mergeCell ref="A109:G109"/>
    <mergeCell ref="A110:G110"/>
    <mergeCell ref="A111:G111"/>
    <mergeCell ref="B133:E133"/>
    <mergeCell ref="A134:G134"/>
    <mergeCell ref="B33:E33"/>
    <mergeCell ref="A34:G34"/>
    <mergeCell ref="A35:G35"/>
    <mergeCell ref="A1:G1"/>
    <mergeCell ref="A2:G2"/>
    <mergeCell ref="A3:G3"/>
    <mergeCell ref="B25:E25"/>
    <mergeCell ref="A26:G26"/>
    <mergeCell ref="A27:G27"/>
    <mergeCell ref="B29:E29"/>
    <mergeCell ref="A30:G30"/>
    <mergeCell ref="A31:G31"/>
    <mergeCell ref="A38:G38"/>
    <mergeCell ref="A39:G39"/>
    <mergeCell ref="A40:G40"/>
    <mergeCell ref="B62:E62"/>
    <mergeCell ref="A63:G63"/>
    <mergeCell ref="A71:G71"/>
    <mergeCell ref="A72:G72"/>
    <mergeCell ref="A64:G64"/>
    <mergeCell ref="B66:E66"/>
    <mergeCell ref="A67:G67"/>
    <mergeCell ref="A68:G68"/>
    <mergeCell ref="B70:E70"/>
    <mergeCell ref="A74:G74"/>
    <mergeCell ref="A75:G75"/>
    <mergeCell ref="A76:G76"/>
    <mergeCell ref="B98:E98"/>
    <mergeCell ref="A99:G99"/>
    <mergeCell ref="A107:G107"/>
    <mergeCell ref="A108:G108"/>
    <mergeCell ref="A100:G100"/>
    <mergeCell ref="B102:E102"/>
    <mergeCell ref="A103:G103"/>
    <mergeCell ref="A104:G104"/>
    <mergeCell ref="B106:E106"/>
  </mergeCells>
  <phoneticPr fontId="2" type="noConversion"/>
  <pageMargins left="0.39370078740157483" right="7.874015748031496E-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งบทดลอง(ใหม่)</vt:lpstr>
      <vt:lpstr>งบรับจ่ายเงินสด  55</vt:lpstr>
      <vt:lpstr>ใบต่อ  55</vt:lpstr>
      <vt:lpstr>รายละเอียด(หมายเหตุ2)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dell</cp:lastModifiedBy>
  <cp:lastPrinted>2015-03-05T03:50:45Z</cp:lastPrinted>
  <dcterms:created xsi:type="dcterms:W3CDTF">2005-01-27T06:24:37Z</dcterms:created>
  <dcterms:modified xsi:type="dcterms:W3CDTF">2015-03-05T05:10:48Z</dcterms:modified>
</cp:coreProperties>
</file>