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65" yWindow="30" windowWidth="1980" windowHeight="1170"/>
  </bookViews>
  <sheets>
    <sheet name="งบทดลอง" sheetId="40" r:id="rId1"/>
    <sheet name="งบรับจ่ายเงินสด  57" sheetId="7" r:id="rId2"/>
    <sheet name="ใบต่อ  57" sheetId="8" r:id="rId3"/>
    <sheet name="รายละเอียด(หมายเหตุ2)" sheetId="11" r:id="rId4"/>
  </sheets>
  <calcPr calcId="144525"/>
</workbook>
</file>

<file path=xl/calcChain.xml><?xml version="1.0" encoding="utf-8"?>
<calcChain xmlns="http://schemas.openxmlformats.org/spreadsheetml/2006/main">
  <c r="G269" i="8" l="1"/>
  <c r="G270" i="8"/>
  <c r="I291" i="8"/>
  <c r="G266" i="8"/>
  <c r="G248" i="7"/>
  <c r="G257" i="8"/>
  <c r="G264" i="8" s="1"/>
  <c r="G247" i="7"/>
  <c r="C273" i="8"/>
  <c r="F203" i="11"/>
  <c r="D204" i="11"/>
  <c r="G246" i="7" s="1"/>
  <c r="E191" i="11"/>
  <c r="E204" i="11" s="1"/>
  <c r="G276" i="8" s="1"/>
  <c r="C271" i="8"/>
  <c r="D271" i="8" s="1"/>
  <c r="C270" i="8"/>
  <c r="C269" i="8"/>
  <c r="C268" i="8"/>
  <c r="C267" i="8"/>
  <c r="C265" i="8"/>
  <c r="A262" i="8"/>
  <c r="A261" i="8"/>
  <c r="A260" i="8"/>
  <c r="A258" i="8"/>
  <c r="A257" i="8"/>
  <c r="A256" i="8"/>
  <c r="A255" i="8"/>
  <c r="A254" i="8"/>
  <c r="A236" i="7"/>
  <c r="G236" i="7"/>
  <c r="G207" i="8"/>
  <c r="G285" i="8" l="1"/>
  <c r="A264" i="8"/>
  <c r="G260" i="7"/>
  <c r="G286" i="8"/>
  <c r="G204" i="7"/>
  <c r="G220" i="8"/>
  <c r="G219" i="8"/>
  <c r="G261" i="7" l="1"/>
  <c r="G188" i="7"/>
  <c r="D153" i="11"/>
  <c r="G208" i="8"/>
  <c r="G203" i="7"/>
  <c r="G206" i="8"/>
  <c r="G288" i="8" l="1"/>
  <c r="C229" i="40"/>
  <c r="C281" i="40" s="1"/>
  <c r="C227" i="40"/>
  <c r="C279" i="40" s="1"/>
  <c r="G228" i="8"/>
  <c r="G227" i="8"/>
  <c r="C236" i="40"/>
  <c r="C289" i="40" s="1"/>
  <c r="C233" i="8"/>
  <c r="C283" i="8" s="1"/>
  <c r="C196" i="7"/>
  <c r="C240" i="7" s="1"/>
  <c r="C213" i="7"/>
  <c r="C257" i="7" s="1"/>
  <c r="C215" i="7"/>
  <c r="C259" i="7" s="1"/>
  <c r="C223" i="8"/>
  <c r="C221" i="8"/>
  <c r="D221" i="8" s="1"/>
  <c r="C220" i="8"/>
  <c r="D220" i="8" s="1"/>
  <c r="D270" i="8" s="1"/>
  <c r="C219" i="8"/>
  <c r="D219" i="8" s="1"/>
  <c r="D269" i="8" s="1"/>
  <c r="C218" i="8"/>
  <c r="D218" i="8" s="1"/>
  <c r="D268" i="8" s="1"/>
  <c r="C217" i="8"/>
  <c r="C215" i="8"/>
  <c r="A212" i="8"/>
  <c r="A211" i="8"/>
  <c r="A210" i="8"/>
  <c r="A208" i="8"/>
  <c r="A207" i="8"/>
  <c r="A206" i="8"/>
  <c r="A205" i="8"/>
  <c r="A204" i="8"/>
  <c r="G214" i="8"/>
  <c r="I214" i="8" s="1"/>
  <c r="F159" i="11"/>
  <c r="E168" i="11"/>
  <c r="G226" i="8" s="1"/>
  <c r="D168" i="11"/>
  <c r="G202" i="7" s="1"/>
  <c r="G200" i="7"/>
  <c r="C200" i="7" s="1"/>
  <c r="C244" i="7" s="1"/>
  <c r="G198" i="7"/>
  <c r="C198" i="7" s="1"/>
  <c r="C242" i="7" s="1"/>
  <c r="G197" i="7"/>
  <c r="A192" i="7"/>
  <c r="G192" i="7"/>
  <c r="C243" i="40"/>
  <c r="C296" i="40" s="1"/>
  <c r="G140" i="7"/>
  <c r="G144" i="7"/>
  <c r="G216" i="7" l="1"/>
  <c r="G235" i="8"/>
  <c r="A214" i="8"/>
  <c r="G217" i="7"/>
  <c r="G183" i="8"/>
  <c r="G236" i="8" l="1"/>
  <c r="D115" i="11"/>
  <c r="D116" i="11"/>
  <c r="F116" i="11" s="1"/>
  <c r="C152" i="11" s="1"/>
  <c r="F152" i="11" s="1"/>
  <c r="C188" i="11" s="1"/>
  <c r="F188" i="11" s="1"/>
  <c r="G159" i="7"/>
  <c r="G154" i="8"/>
  <c r="C182" i="40"/>
  <c r="C235" i="40" s="1"/>
  <c r="C288" i="40" s="1"/>
  <c r="C184" i="40"/>
  <c r="C237" i="40" s="1"/>
  <c r="C290" i="40" s="1"/>
  <c r="G158" i="8"/>
  <c r="A163" i="8"/>
  <c r="A162" i="8"/>
  <c r="A161" i="8"/>
  <c r="A159" i="8"/>
  <c r="A158" i="8"/>
  <c r="A157" i="8"/>
  <c r="A156" i="8"/>
  <c r="A155" i="8"/>
  <c r="A165" i="8" s="1"/>
  <c r="A113" i="8"/>
  <c r="A112" i="8"/>
  <c r="A111" i="8"/>
  <c r="A109" i="8"/>
  <c r="A108" i="8"/>
  <c r="A107" i="8"/>
  <c r="A106" i="8"/>
  <c r="A105" i="8"/>
  <c r="A115" i="8" s="1"/>
  <c r="A64" i="8"/>
  <c r="A63" i="8"/>
  <c r="A62" i="8"/>
  <c r="A60" i="8"/>
  <c r="A59" i="8"/>
  <c r="A58" i="8"/>
  <c r="A57" i="8"/>
  <c r="A56" i="8"/>
  <c r="A66" i="8" s="1"/>
  <c r="F121" i="11"/>
  <c r="C157" i="11" s="1"/>
  <c r="F157" i="11" s="1"/>
  <c r="C193" i="11" s="1"/>
  <c r="F193" i="11" s="1"/>
  <c r="F122" i="11"/>
  <c r="C158" i="11" s="1"/>
  <c r="F158" i="11" s="1"/>
  <c r="C194" i="11" s="1"/>
  <c r="F194" i="11" s="1"/>
  <c r="E131" i="11"/>
  <c r="G177" i="8" s="1"/>
  <c r="D131" i="11"/>
  <c r="G158" i="7" s="1"/>
  <c r="G146" i="7"/>
  <c r="G142" i="7"/>
  <c r="G141" i="7"/>
  <c r="C155" i="7"/>
  <c r="C199" i="7" s="1"/>
  <c r="C243" i="7" s="1"/>
  <c r="A148" i="7"/>
  <c r="A104" i="7"/>
  <c r="G238" i="8" l="1"/>
  <c r="G172" i="7"/>
  <c r="G148" i="7"/>
  <c r="G173" i="7" l="1"/>
  <c r="G115" i="7"/>
  <c r="G108" i="8"/>
  <c r="G116" i="7"/>
  <c r="G117" i="8"/>
  <c r="G106" i="8"/>
  <c r="G104" i="8"/>
  <c r="G105" i="8"/>
  <c r="C124" i="40"/>
  <c r="C174" i="40" s="1"/>
  <c r="C225" i="40" s="1"/>
  <c r="C277" i="40" s="1"/>
  <c r="C123" i="40"/>
  <c r="C173" i="40" s="1"/>
  <c r="C224" i="40" s="1"/>
  <c r="C276" i="40" s="1"/>
  <c r="C106" i="40"/>
  <c r="C156" i="40" s="1"/>
  <c r="C207" i="40" s="1"/>
  <c r="C259" i="40" s="1"/>
  <c r="E138" i="40"/>
  <c r="E188" i="40" s="1"/>
  <c r="E241" i="40" s="1"/>
  <c r="E294" i="40" s="1"/>
  <c r="C129" i="40"/>
  <c r="C179" i="40" s="1"/>
  <c r="C232" i="40" s="1"/>
  <c r="C285" i="40" s="1"/>
  <c r="C133" i="40"/>
  <c r="C135" i="40"/>
  <c r="C185" i="40" s="1"/>
  <c r="C136" i="40"/>
  <c r="C186" i="40" s="1"/>
  <c r="C238" i="40" s="1"/>
  <c r="C291" i="40" s="1"/>
  <c r="C137" i="40"/>
  <c r="C187" i="40" s="1"/>
  <c r="C239" i="40" s="1"/>
  <c r="C292" i="40" s="1"/>
  <c r="C138" i="40"/>
  <c r="C188" i="40" s="1"/>
  <c r="C240" i="40" s="1"/>
  <c r="C293" i="40" s="1"/>
  <c r="C139" i="40"/>
  <c r="C189" i="40" s="1"/>
  <c r="C241" i="40" s="1"/>
  <c r="C294" i="40" s="1"/>
  <c r="C140" i="40"/>
  <c r="C190" i="40" s="1"/>
  <c r="C242" i="40" s="1"/>
  <c r="C295" i="40" s="1"/>
  <c r="C141" i="40"/>
  <c r="C192" i="40" s="1"/>
  <c r="C244" i="40" s="1"/>
  <c r="C297" i="40" s="1"/>
  <c r="C142" i="40"/>
  <c r="C193" i="40" s="1"/>
  <c r="C245" i="40" s="1"/>
  <c r="C298" i="40" s="1"/>
  <c r="C143" i="40"/>
  <c r="C194" i="40" s="1"/>
  <c r="C246" i="40" s="1"/>
  <c r="C299" i="40" s="1"/>
  <c r="C109" i="7"/>
  <c r="C107" i="7"/>
  <c r="C151" i="7" s="1"/>
  <c r="C195" i="7" s="1"/>
  <c r="C239" i="7" s="1"/>
  <c r="G102" i="7"/>
  <c r="G98" i="7"/>
  <c r="G97" i="7"/>
  <c r="E92" i="11"/>
  <c r="G127" i="8" s="1"/>
  <c r="G135" i="8" s="1"/>
  <c r="D92" i="11"/>
  <c r="G114" i="7" s="1"/>
  <c r="C77" i="40" l="1"/>
  <c r="C128" i="40" s="1"/>
  <c r="C178" i="40" s="1"/>
  <c r="C231" i="40" s="1"/>
  <c r="C284" i="40" s="1"/>
  <c r="G59" i="8"/>
  <c r="D75" i="8"/>
  <c r="D123" i="8" s="1"/>
  <c r="C81" i="7"/>
  <c r="C124" i="7" s="1"/>
  <c r="C82" i="7"/>
  <c r="C125" i="7" s="1"/>
  <c r="C168" i="7" s="1"/>
  <c r="C212" i="7" s="1"/>
  <c r="C256" i="7" s="1"/>
  <c r="G61" i="8"/>
  <c r="C65" i="40"/>
  <c r="C115" i="40" s="1"/>
  <c r="C165" i="40" s="1"/>
  <c r="C216" i="40" s="1"/>
  <c r="C268" i="40" s="1"/>
  <c r="C79" i="40"/>
  <c r="C130" i="40" s="1"/>
  <c r="C180" i="40" s="1"/>
  <c r="C233" i="40" s="1"/>
  <c r="C286" i="40" s="1"/>
  <c r="C76" i="40"/>
  <c r="C127" i="40" s="1"/>
  <c r="C177" i="40" s="1"/>
  <c r="C230" i="40" s="1"/>
  <c r="C282" i="40" s="1"/>
  <c r="C75" i="40"/>
  <c r="C126" i="40" s="1"/>
  <c r="C176" i="40" s="1"/>
  <c r="C228" i="40" s="1"/>
  <c r="C280" i="40" s="1"/>
  <c r="C74" i="40"/>
  <c r="C125" i="40" s="1"/>
  <c r="C175" i="40" s="1"/>
  <c r="C226" i="40" s="1"/>
  <c r="C278" i="40" s="1"/>
  <c r="C80" i="40"/>
  <c r="C131" i="40" s="1"/>
  <c r="C181" i="40" s="1"/>
  <c r="C234" i="40" s="1"/>
  <c r="C287" i="40" s="1"/>
  <c r="E55" i="11"/>
  <c r="G79" i="8" s="1"/>
  <c r="D55" i="11"/>
  <c r="G71" i="7" s="1"/>
  <c r="C70" i="7"/>
  <c r="C113" i="7" s="1"/>
  <c r="C157" i="7" s="1"/>
  <c r="C201" i="7" s="1"/>
  <c r="C245" i="7" s="1"/>
  <c r="G60" i="7"/>
  <c r="G58" i="7"/>
  <c r="G56" i="7"/>
  <c r="G55" i="7"/>
  <c r="G54" i="7"/>
  <c r="C64" i="7"/>
  <c r="C106" i="7" s="1"/>
  <c r="C150" i="7" s="1"/>
  <c r="C194" i="7" s="1"/>
  <c r="A62" i="7"/>
  <c r="E89" i="40"/>
  <c r="E140" i="40" s="1"/>
  <c r="E190" i="40" s="1"/>
  <c r="E243" i="40" s="1"/>
  <c r="E296" i="40" s="1"/>
  <c r="E90" i="40"/>
  <c r="E141" i="40" s="1"/>
  <c r="E192" i="40" s="1"/>
  <c r="E244" i="40" s="1"/>
  <c r="E297" i="40" s="1"/>
  <c r="E92" i="40"/>
  <c r="E143" i="40" s="1"/>
  <c r="E194" i="40" s="1"/>
  <c r="E246" i="40" s="1"/>
  <c r="E299" i="40" s="1"/>
  <c r="C58" i="40"/>
  <c r="C108" i="40" s="1"/>
  <c r="C158" i="40" s="1"/>
  <c r="C209" i="40" s="1"/>
  <c r="C261" i="40" s="1"/>
  <c r="C60" i="40"/>
  <c r="C110" i="40" s="1"/>
  <c r="C160" i="40" s="1"/>
  <c r="C211" i="40" s="1"/>
  <c r="C263" i="40" s="1"/>
  <c r="C61" i="40"/>
  <c r="C111" i="40" s="1"/>
  <c r="C161" i="40" s="1"/>
  <c r="C212" i="40" s="1"/>
  <c r="C264" i="40" s="1"/>
  <c r="C63" i="40"/>
  <c r="C113" i="40" s="1"/>
  <c r="C163" i="40" s="1"/>
  <c r="C214" i="40" s="1"/>
  <c r="C266" i="40" s="1"/>
  <c r="C66" i="40"/>
  <c r="C116" i="40" s="1"/>
  <c r="C166" i="40" s="1"/>
  <c r="C217" i="40" s="1"/>
  <c r="C269" i="40" s="1"/>
  <c r="C68" i="40"/>
  <c r="C118" i="40" s="1"/>
  <c r="C168" i="40" s="1"/>
  <c r="C219" i="40" s="1"/>
  <c r="C271" i="40" s="1"/>
  <c r="C70" i="40"/>
  <c r="C120" i="40" s="1"/>
  <c r="C170" i="40" s="1"/>
  <c r="C221" i="40" s="1"/>
  <c r="C273" i="40" s="1"/>
  <c r="E41" i="40"/>
  <c r="E91" i="40" s="1"/>
  <c r="E142" i="40" s="1"/>
  <c r="E193" i="40" s="1"/>
  <c r="E245" i="40" s="1"/>
  <c r="E298" i="40" s="1"/>
  <c r="E38" i="40"/>
  <c r="E88" i="40" s="1"/>
  <c r="E139" i="40" s="1"/>
  <c r="E189" i="40" s="1"/>
  <c r="E242" i="40" s="1"/>
  <c r="E295" i="40" s="1"/>
  <c r="E37" i="40"/>
  <c r="E86" i="40" s="1"/>
  <c r="E137" i="40" s="1"/>
  <c r="E187" i="40" s="1"/>
  <c r="E240" i="40" s="1"/>
  <c r="E293" i="40" s="1"/>
  <c r="E35" i="40"/>
  <c r="E84" i="40" s="1"/>
  <c r="E135" i="40" s="1"/>
  <c r="C24" i="40"/>
  <c r="C72" i="40" s="1"/>
  <c r="C122" i="40" s="1"/>
  <c r="C172" i="40" s="1"/>
  <c r="C223" i="40" s="1"/>
  <c r="C275" i="40" s="1"/>
  <c r="C23" i="40"/>
  <c r="C71" i="40" s="1"/>
  <c r="C121" i="40" s="1"/>
  <c r="C171" i="40" s="1"/>
  <c r="C222" i="40" s="1"/>
  <c r="C274" i="40" s="1"/>
  <c r="C21" i="40"/>
  <c r="C69" i="40" s="1"/>
  <c r="C119" i="40" s="1"/>
  <c r="C169" i="40" s="1"/>
  <c r="C220" i="40" s="1"/>
  <c r="C272" i="40" s="1"/>
  <c r="C19" i="40"/>
  <c r="C67" i="40" s="1"/>
  <c r="C117" i="40" s="1"/>
  <c r="C167" i="40" s="1"/>
  <c r="C218" i="40" s="1"/>
  <c r="C270" i="40" s="1"/>
  <c r="C16" i="40"/>
  <c r="C64" i="40" s="1"/>
  <c r="C114" i="40" s="1"/>
  <c r="C164" i="40" s="1"/>
  <c r="C215" i="40" s="1"/>
  <c r="C267" i="40" s="1"/>
  <c r="C14" i="40"/>
  <c r="C62" i="40" s="1"/>
  <c r="C112" i="40" s="1"/>
  <c r="C162" i="40" s="1"/>
  <c r="C213" i="40" s="1"/>
  <c r="C265" i="40" s="1"/>
  <c r="C11" i="40"/>
  <c r="C59" i="40" s="1"/>
  <c r="C109" i="40" s="1"/>
  <c r="C159" i="40" s="1"/>
  <c r="C210" i="40" s="1"/>
  <c r="C262" i="40" s="1"/>
  <c r="C9" i="40"/>
  <c r="C57" i="40" s="1"/>
  <c r="C107" i="40" s="1"/>
  <c r="C8" i="40"/>
  <c r="C56" i="40" s="1"/>
  <c r="C7" i="40"/>
  <c r="C238" i="7" l="1"/>
  <c r="C157" i="40"/>
  <c r="C208" i="40" s="1"/>
  <c r="C260" i="40" s="1"/>
  <c r="E185" i="40"/>
  <c r="E238" i="40" s="1"/>
  <c r="E291" i="40" s="1"/>
  <c r="C43" i="40"/>
  <c r="G62" i="7"/>
  <c r="C55" i="40"/>
  <c r="C93" i="40" s="1"/>
  <c r="G84" i="7"/>
  <c r="C29" i="7"/>
  <c r="C72" i="7" s="1"/>
  <c r="C115" i="7" s="1"/>
  <c r="C159" i="7" s="1"/>
  <c r="C203" i="7" s="1"/>
  <c r="C247" i="7" s="1"/>
  <c r="C34" i="8"/>
  <c r="C83" i="8" s="1"/>
  <c r="C34" i="7"/>
  <c r="C77" i="7" s="1"/>
  <c r="C120" i="7" s="1"/>
  <c r="C164" i="7" s="1"/>
  <c r="C208" i="7" s="1"/>
  <c r="C252" i="7" s="1"/>
  <c r="C33" i="7"/>
  <c r="C76" i="7" s="1"/>
  <c r="C119" i="7" s="1"/>
  <c r="C163" i="7" s="1"/>
  <c r="C207" i="7" s="1"/>
  <c r="C251" i="7" s="1"/>
  <c r="C105" i="40" l="1"/>
  <c r="C155" i="40" s="1"/>
  <c r="C206" i="40" s="1"/>
  <c r="C258" i="40" s="1"/>
  <c r="C300" i="40" s="1"/>
  <c r="G85" i="7"/>
  <c r="C195" i="40" l="1"/>
  <c r="C144" i="40"/>
  <c r="C37" i="7"/>
  <c r="C80" i="7" s="1"/>
  <c r="C123" i="7" s="1"/>
  <c r="C167" i="7" s="1"/>
  <c r="C211" i="7" s="1"/>
  <c r="C255" i="7" s="1"/>
  <c r="A14" i="8"/>
  <c r="A9" i="8"/>
  <c r="A15" i="8"/>
  <c r="A11" i="8"/>
  <c r="A10" i="8"/>
  <c r="A8" i="8"/>
  <c r="A7" i="8"/>
  <c r="A13" i="8"/>
  <c r="C247" i="40" l="1"/>
  <c r="E21" i="11" l="1"/>
  <c r="D21" i="11"/>
  <c r="G30" i="8" l="1"/>
  <c r="G28" i="7"/>
  <c r="G185" i="8" l="1"/>
  <c r="C172" i="8"/>
  <c r="C171" i="8"/>
  <c r="C170" i="8"/>
  <c r="C169" i="8"/>
  <c r="C168" i="8"/>
  <c r="C166" i="8"/>
  <c r="G165" i="8"/>
  <c r="G186" i="8" l="1"/>
  <c r="G190" i="8" s="1"/>
  <c r="D124" i="8"/>
  <c r="C174" i="8" s="1"/>
  <c r="C111" i="7"/>
  <c r="C153" i="7" s="1"/>
  <c r="C197" i="7" s="1"/>
  <c r="C124" i="8"/>
  <c r="C123" i="8"/>
  <c r="C122" i="8"/>
  <c r="C121" i="8"/>
  <c r="C120" i="8"/>
  <c r="C119" i="8"/>
  <c r="C118" i="8"/>
  <c r="C116" i="8"/>
  <c r="C241" i="7" l="1"/>
  <c r="G128" i="7"/>
  <c r="G104" i="7"/>
  <c r="G115" i="8"/>
  <c r="G129" i="7" l="1"/>
  <c r="G136" i="8"/>
  <c r="C77" i="8"/>
  <c r="C125" i="8" s="1"/>
  <c r="C175" i="8" s="1"/>
  <c r="C224" i="8" s="1"/>
  <c r="C274" i="8" s="1"/>
  <c r="G138" i="8" l="1"/>
  <c r="C76" i="8"/>
  <c r="C75" i="8"/>
  <c r="C74" i="8"/>
  <c r="C73" i="8"/>
  <c r="C72" i="8"/>
  <c r="C71" i="8"/>
  <c r="C70" i="8"/>
  <c r="C69" i="8"/>
  <c r="C68" i="8"/>
  <c r="C117" i="8" s="1"/>
  <c r="C167" i="8" s="1"/>
  <c r="C216" i="8" s="1"/>
  <c r="C266" i="8" s="1"/>
  <c r="C114" i="8"/>
  <c r="C164" i="8" s="1"/>
  <c r="C213" i="8" s="1"/>
  <c r="C263" i="8" s="1"/>
  <c r="G66" i="8" l="1"/>
  <c r="I217" i="8" l="1"/>
  <c r="G87" i="8" l="1"/>
  <c r="G88" i="8" l="1"/>
  <c r="G90" i="8" s="1"/>
  <c r="C36" i="7" l="1"/>
  <c r="C40" i="7"/>
  <c r="C36" i="8"/>
  <c r="C35" i="8"/>
  <c r="D29" i="8"/>
  <c r="C78" i="8" s="1"/>
  <c r="C126" i="8" s="1"/>
  <c r="C37" i="8"/>
  <c r="C30" i="7"/>
  <c r="C35" i="7"/>
  <c r="C32" i="7"/>
  <c r="C31" i="7"/>
  <c r="C21" i="7"/>
  <c r="C9" i="7"/>
  <c r="C75" i="7" l="1"/>
  <c r="C118" i="7" s="1"/>
  <c r="C162" i="7" s="1"/>
  <c r="C206" i="7" s="1"/>
  <c r="C73" i="7"/>
  <c r="C116" i="7" s="1"/>
  <c r="C160" i="7" s="1"/>
  <c r="C204" i="7" s="1"/>
  <c r="C248" i="7" s="1"/>
  <c r="C83" i="7"/>
  <c r="C126" i="7" s="1"/>
  <c r="C170" i="7" s="1"/>
  <c r="C214" i="7" s="1"/>
  <c r="C52" i="7"/>
  <c r="C94" i="7" s="1"/>
  <c r="C74" i="7"/>
  <c r="C117" i="7" s="1"/>
  <c r="C161" i="7" s="1"/>
  <c r="C205" i="7" s="1"/>
  <c r="C78" i="7"/>
  <c r="C121" i="7" s="1"/>
  <c r="C165" i="7" s="1"/>
  <c r="C209" i="7" s="1"/>
  <c r="C79" i="7"/>
  <c r="C122" i="7" s="1"/>
  <c r="C166" i="7" s="1"/>
  <c r="C210" i="7" s="1"/>
  <c r="C131" i="8"/>
  <c r="C181" i="8" s="1"/>
  <c r="C230" i="8" s="1"/>
  <c r="C280" i="8" s="1"/>
  <c r="C84" i="8"/>
  <c r="C132" i="8" s="1"/>
  <c r="C182" i="8" s="1"/>
  <c r="C231" i="8" s="1"/>
  <c r="C281" i="8" s="1"/>
  <c r="C85" i="8"/>
  <c r="C133" i="8" s="1"/>
  <c r="C183" i="8" s="1"/>
  <c r="C232" i="8" s="1"/>
  <c r="C282" i="8" s="1"/>
  <c r="C176" i="8"/>
  <c r="C254" i="7" l="1"/>
  <c r="C249" i="7"/>
  <c r="C258" i="7"/>
  <c r="C250" i="7"/>
  <c r="C253" i="7"/>
  <c r="C138" i="7"/>
  <c r="C182" i="7" s="1"/>
  <c r="F8" i="11"/>
  <c r="C42" i="11" s="1"/>
  <c r="F42" i="11" s="1"/>
  <c r="C79" i="11" s="1"/>
  <c r="F79" i="11" s="1"/>
  <c r="C115" i="11" s="1"/>
  <c r="F115" i="11" s="1"/>
  <c r="C151" i="11" s="1"/>
  <c r="F151" i="11" s="1"/>
  <c r="C187" i="11" s="1"/>
  <c r="F187" i="11" s="1"/>
  <c r="F10" i="11"/>
  <c r="C44" i="11" s="1"/>
  <c r="F44" i="11" s="1"/>
  <c r="C81" i="11" s="1"/>
  <c r="F81" i="11" s="1"/>
  <c r="C118" i="11" s="1"/>
  <c r="F118" i="11" s="1"/>
  <c r="C154" i="11" s="1"/>
  <c r="F154" i="11" s="1"/>
  <c r="C190" i="11" s="1"/>
  <c r="F190" i="11" s="1"/>
  <c r="F14" i="11"/>
  <c r="C48" i="11" s="1"/>
  <c r="F48" i="11" s="1"/>
  <c r="C85" i="11" s="1"/>
  <c r="F85" i="11" s="1"/>
  <c r="C124" i="11" s="1"/>
  <c r="F124" i="11" s="1"/>
  <c r="C161" i="11" s="1"/>
  <c r="F161" i="11" s="1"/>
  <c r="C196" i="11" s="1"/>
  <c r="F196" i="11" s="1"/>
  <c r="F15" i="11"/>
  <c r="C49" i="11" s="1"/>
  <c r="F49" i="11" s="1"/>
  <c r="C86" i="11" s="1"/>
  <c r="F86" i="11" s="1"/>
  <c r="C125" i="11" s="1"/>
  <c r="F125" i="11" s="1"/>
  <c r="C162" i="11" s="1"/>
  <c r="F162" i="11" s="1"/>
  <c r="C197" i="11" s="1"/>
  <c r="F197" i="11" s="1"/>
  <c r="F16" i="11"/>
  <c r="C50" i="11" s="1"/>
  <c r="F50" i="11" s="1"/>
  <c r="C87" i="11" s="1"/>
  <c r="F87" i="11" s="1"/>
  <c r="C126" i="11" s="1"/>
  <c r="F126" i="11" s="1"/>
  <c r="C163" i="11" s="1"/>
  <c r="F163" i="11" s="1"/>
  <c r="C198" i="11" s="1"/>
  <c r="F198" i="11" s="1"/>
  <c r="F17" i="11"/>
  <c r="C51" i="11" s="1"/>
  <c r="F51" i="11" s="1"/>
  <c r="C88" i="11" s="1"/>
  <c r="F88" i="11" s="1"/>
  <c r="C127" i="11" s="1"/>
  <c r="F127" i="11" s="1"/>
  <c r="C164" i="11" s="1"/>
  <c r="F164" i="11" s="1"/>
  <c r="C199" i="11" s="1"/>
  <c r="F199" i="11" s="1"/>
  <c r="F18" i="11"/>
  <c r="C52" i="11" s="1"/>
  <c r="F52" i="11" s="1"/>
  <c r="C89" i="11" s="1"/>
  <c r="F89" i="11" s="1"/>
  <c r="C128" i="11" s="1"/>
  <c r="F128" i="11" s="1"/>
  <c r="C165" i="11" s="1"/>
  <c r="F165" i="11" s="1"/>
  <c r="C200" i="11" s="1"/>
  <c r="F200" i="11" s="1"/>
  <c r="F19" i="11"/>
  <c r="C53" i="11" s="1"/>
  <c r="F53" i="11" s="1"/>
  <c r="C90" i="11" s="1"/>
  <c r="F90" i="11" s="1"/>
  <c r="C129" i="11" s="1"/>
  <c r="F129" i="11" s="1"/>
  <c r="C166" i="11" s="1"/>
  <c r="F166" i="11" s="1"/>
  <c r="C201" i="11" s="1"/>
  <c r="F201" i="11" s="1"/>
  <c r="F20" i="11"/>
  <c r="C54" i="11" s="1"/>
  <c r="F54" i="11" s="1"/>
  <c r="C91" i="11" s="1"/>
  <c r="F91" i="11" s="1"/>
  <c r="C130" i="11" s="1"/>
  <c r="F130" i="11" s="1"/>
  <c r="C167" i="11" s="1"/>
  <c r="F167" i="11" s="1"/>
  <c r="C202" i="11" s="1"/>
  <c r="F202" i="11" s="1"/>
  <c r="C28" i="7"/>
  <c r="C71" i="7" s="1"/>
  <c r="G39" i="8"/>
  <c r="C6" i="8"/>
  <c r="C55" i="8" s="1"/>
  <c r="C104" i="8" s="1"/>
  <c r="C154" i="8" s="1"/>
  <c r="C203" i="8" s="1"/>
  <c r="C253" i="8" s="1"/>
  <c r="C7" i="8"/>
  <c r="C56" i="8" s="1"/>
  <c r="C105" i="8" s="1"/>
  <c r="C155" i="8" s="1"/>
  <c r="C204" i="8" s="1"/>
  <c r="C254" i="8" s="1"/>
  <c r="C8" i="8"/>
  <c r="C57" i="8" s="1"/>
  <c r="C106" i="8" s="1"/>
  <c r="C156" i="8" s="1"/>
  <c r="C205" i="8" s="1"/>
  <c r="C255" i="8" s="1"/>
  <c r="C9" i="8"/>
  <c r="C58" i="8" s="1"/>
  <c r="C107" i="8" s="1"/>
  <c r="C157" i="8" s="1"/>
  <c r="C206" i="8" s="1"/>
  <c r="C256" i="8" s="1"/>
  <c r="C10" i="8"/>
  <c r="C59" i="8" s="1"/>
  <c r="C108" i="8" s="1"/>
  <c r="C158" i="8" s="1"/>
  <c r="C207" i="8" s="1"/>
  <c r="C257" i="8" s="1"/>
  <c r="C11" i="8"/>
  <c r="C60" i="8" s="1"/>
  <c r="C109" i="8" s="1"/>
  <c r="C159" i="8" s="1"/>
  <c r="C208" i="8" s="1"/>
  <c r="C258" i="8" s="1"/>
  <c r="C12" i="8"/>
  <c r="C61" i="8" s="1"/>
  <c r="C110" i="8" s="1"/>
  <c r="C160" i="8" s="1"/>
  <c r="C209" i="8" s="1"/>
  <c r="C259" i="8" s="1"/>
  <c r="C13" i="8"/>
  <c r="C62" i="8" s="1"/>
  <c r="C111" i="8" s="1"/>
  <c r="C161" i="8" s="1"/>
  <c r="C210" i="8" s="1"/>
  <c r="C260" i="8" s="1"/>
  <c r="C14" i="8"/>
  <c r="C63" i="8" s="1"/>
  <c r="C112" i="8" s="1"/>
  <c r="C162" i="8" s="1"/>
  <c r="C211" i="8" s="1"/>
  <c r="C261" i="8" s="1"/>
  <c r="C15" i="8"/>
  <c r="C64" i="8" s="1"/>
  <c r="C113" i="8" s="1"/>
  <c r="C163" i="8" s="1"/>
  <c r="C212" i="8" s="1"/>
  <c r="C262" i="8" s="1"/>
  <c r="C16" i="8"/>
  <c r="C65" i="8" s="1"/>
  <c r="A17" i="8"/>
  <c r="A19" i="8" s="1"/>
  <c r="G17" i="8"/>
  <c r="C18" i="8"/>
  <c r="C19" i="8"/>
  <c r="C20" i="8"/>
  <c r="C21" i="8"/>
  <c r="C22" i="8"/>
  <c r="C23" i="8"/>
  <c r="C24" i="8"/>
  <c r="C25" i="8"/>
  <c r="C26" i="8"/>
  <c r="C27" i="8"/>
  <c r="C29" i="8"/>
  <c r="C31" i="8"/>
  <c r="C32" i="8"/>
  <c r="C33" i="8"/>
  <c r="C38" i="8"/>
  <c r="C86" i="8" s="1"/>
  <c r="C11" i="7"/>
  <c r="C54" i="7" s="1"/>
  <c r="C12" i="7"/>
  <c r="C13" i="7"/>
  <c r="C14" i="7"/>
  <c r="C15" i="7"/>
  <c r="C16" i="7"/>
  <c r="C17" i="7"/>
  <c r="C18" i="7"/>
  <c r="A19" i="7"/>
  <c r="G19" i="7"/>
  <c r="C264" i="8" l="1"/>
  <c r="C226" i="7"/>
  <c r="C61" i="7"/>
  <c r="C103" i="7" s="1"/>
  <c r="C147" i="7" s="1"/>
  <c r="C191" i="7" s="1"/>
  <c r="C235" i="7" s="1"/>
  <c r="C59" i="7"/>
  <c r="C101" i="7" s="1"/>
  <c r="C57" i="7"/>
  <c r="C99" i="7" s="1"/>
  <c r="C55" i="7"/>
  <c r="C97" i="7" s="1"/>
  <c r="C141" i="7" s="1"/>
  <c r="C185" i="7" s="1"/>
  <c r="C229" i="7" s="1"/>
  <c r="C60" i="7"/>
  <c r="C102" i="7" s="1"/>
  <c r="C58" i="7"/>
  <c r="C100" i="7" s="1"/>
  <c r="C56" i="7"/>
  <c r="C98" i="7" s="1"/>
  <c r="C142" i="7" s="1"/>
  <c r="C186" i="7" s="1"/>
  <c r="C230" i="7" s="1"/>
  <c r="C81" i="8"/>
  <c r="C129" i="8" s="1"/>
  <c r="C179" i="8" s="1"/>
  <c r="C228" i="8" s="1"/>
  <c r="C278" i="8" s="1"/>
  <c r="C82" i="8"/>
  <c r="C130" i="8" s="1"/>
  <c r="C180" i="8" s="1"/>
  <c r="C229" i="8" s="1"/>
  <c r="C279" i="8" s="1"/>
  <c r="C80" i="8"/>
  <c r="C128" i="8" s="1"/>
  <c r="C178" i="8" s="1"/>
  <c r="C227" i="8" s="1"/>
  <c r="C277" i="8" s="1"/>
  <c r="C214" i="8"/>
  <c r="C134" i="8"/>
  <c r="C184" i="8" s="1"/>
  <c r="C234" i="8" s="1"/>
  <c r="C284" i="8" s="1"/>
  <c r="C84" i="7"/>
  <c r="C114" i="7"/>
  <c r="C158" i="7" s="1"/>
  <c r="C202" i="7" s="1"/>
  <c r="F11" i="11"/>
  <c r="C45" i="11" s="1"/>
  <c r="F45" i="11" s="1"/>
  <c r="C82" i="11" s="1"/>
  <c r="F82" i="11" s="1"/>
  <c r="C119" i="11" s="1"/>
  <c r="F119" i="11" s="1"/>
  <c r="C155" i="11" s="1"/>
  <c r="F155" i="11" s="1"/>
  <c r="C191" i="11" s="1"/>
  <c r="F191" i="11" s="1"/>
  <c r="F12" i="11"/>
  <c r="C46" i="11" s="1"/>
  <c r="F46" i="11" s="1"/>
  <c r="C83" i="11" s="1"/>
  <c r="F83" i="11" s="1"/>
  <c r="C120" i="11" s="1"/>
  <c r="F120" i="11" s="1"/>
  <c r="C156" i="11" s="1"/>
  <c r="F156" i="11" s="1"/>
  <c r="C192" i="11" s="1"/>
  <c r="F192" i="11" s="1"/>
  <c r="F9" i="11"/>
  <c r="C43" i="11" s="1"/>
  <c r="F13" i="11"/>
  <c r="C47" i="11" s="1"/>
  <c r="F47" i="11" s="1"/>
  <c r="C84" i="11" s="1"/>
  <c r="F84" i="11" s="1"/>
  <c r="C123" i="11" s="1"/>
  <c r="F123" i="11" s="1"/>
  <c r="C160" i="11" s="1"/>
  <c r="F160" i="11" s="1"/>
  <c r="C195" i="11" s="1"/>
  <c r="F195" i="11" s="1"/>
  <c r="C30" i="8"/>
  <c r="G40" i="8"/>
  <c r="C165" i="8"/>
  <c r="C66" i="8"/>
  <c r="C115" i="8"/>
  <c r="C96" i="7"/>
  <c r="C17" i="8"/>
  <c r="G41" i="7"/>
  <c r="G42" i="7" s="1"/>
  <c r="C41" i="7"/>
  <c r="C19" i="7"/>
  <c r="C246" i="7" l="1"/>
  <c r="C260" i="7" s="1"/>
  <c r="C62" i="7"/>
  <c r="F43" i="11"/>
  <c r="C144" i="7"/>
  <c r="C188" i="7" s="1"/>
  <c r="C146" i="7"/>
  <c r="C190" i="7" s="1"/>
  <c r="C143" i="7"/>
  <c r="C187" i="7" s="1"/>
  <c r="C145" i="7"/>
  <c r="C189" i="7" s="1"/>
  <c r="C104" i="7"/>
  <c r="C140" i="7"/>
  <c r="C85" i="7"/>
  <c r="C172" i="7"/>
  <c r="C128" i="7"/>
  <c r="C79" i="8"/>
  <c r="C39" i="8"/>
  <c r="C40" i="8" s="1"/>
  <c r="G44" i="8"/>
  <c r="G43" i="8"/>
  <c r="C42" i="7"/>
  <c r="C233" i="7" l="1"/>
  <c r="C234" i="7"/>
  <c r="C231" i="7"/>
  <c r="C232" i="7"/>
  <c r="C80" i="11"/>
  <c r="F80" i="11" s="1"/>
  <c r="C117" i="11" s="1"/>
  <c r="F117" i="11" s="1"/>
  <c r="C153" i="11" s="1"/>
  <c r="F153" i="11" s="1"/>
  <c r="C189" i="11" s="1"/>
  <c r="F189" i="11" s="1"/>
  <c r="C184" i="7"/>
  <c r="C148" i="7"/>
  <c r="C216" i="7"/>
  <c r="C87" i="8"/>
  <c r="C88" i="8" s="1"/>
  <c r="C90" i="8" s="1"/>
  <c r="C127" i="8"/>
  <c r="G52" i="7"/>
  <c r="G93" i="8" s="1"/>
  <c r="G94" i="7" s="1"/>
  <c r="G141" i="8" s="1"/>
  <c r="C129" i="7"/>
  <c r="C44" i="8"/>
  <c r="I44" i="8" s="1"/>
  <c r="C43" i="8"/>
  <c r="C93" i="8" l="1"/>
  <c r="C192" i="7"/>
  <c r="C228" i="7"/>
  <c r="C236" i="7" s="1"/>
  <c r="C261" i="7" s="1"/>
  <c r="C173" i="7"/>
  <c r="C217" i="7"/>
  <c r="C135" i="8"/>
  <c r="C136" i="8" s="1"/>
  <c r="C138" i="8" s="1"/>
  <c r="C177" i="8"/>
  <c r="C226" i="8" s="1"/>
  <c r="C276" i="8" s="1"/>
  <c r="C285" i="8" s="1"/>
  <c r="G138" i="7"/>
  <c r="G191" i="8" s="1"/>
  <c r="G182" i="7" s="1"/>
  <c r="G241" i="8" s="1"/>
  <c r="G226" i="7" s="1"/>
  <c r="G291" i="8" s="1"/>
  <c r="I292" i="8" s="1"/>
  <c r="I93" i="8"/>
  <c r="C235" i="8" l="1"/>
  <c r="C236" i="8" s="1"/>
  <c r="C238" i="8" s="1"/>
  <c r="C286" i="8"/>
  <c r="C288" i="8" s="1"/>
  <c r="C185" i="8"/>
  <c r="C186" i="8" s="1"/>
  <c r="C188" i="8" s="1"/>
  <c r="C141" i="8"/>
  <c r="I141" i="8" s="1"/>
  <c r="C291" i="8" l="1"/>
  <c r="C241" i="8"/>
  <c r="I241" i="8" s="1"/>
  <c r="I243" i="8" s="1"/>
  <c r="C191" i="8"/>
  <c r="I191" i="8" s="1"/>
  <c r="F7" i="11" l="1"/>
  <c r="C21" i="11"/>
  <c r="F21" i="11" l="1"/>
  <c r="C41" i="11"/>
  <c r="E36" i="40" l="1"/>
  <c r="E43" i="40" s="1"/>
  <c r="F41" i="11"/>
  <c r="C55" i="11"/>
  <c r="C78" i="11" l="1"/>
  <c r="F55" i="11"/>
  <c r="E85" i="40" s="1"/>
  <c r="E93" i="40" s="1"/>
  <c r="F78" i="11" l="1"/>
  <c r="C92" i="11"/>
  <c r="C114" i="11" l="1"/>
  <c r="F92" i="11"/>
  <c r="E136" i="40" s="1"/>
  <c r="E144" i="40" s="1"/>
  <c r="F114" i="11" l="1"/>
  <c r="C131" i="11"/>
  <c r="C150" i="11" l="1"/>
  <c r="F131" i="11"/>
  <c r="E186" i="40" s="1"/>
  <c r="E195" i="40" s="1"/>
  <c r="C168" i="11" l="1"/>
  <c r="F150" i="11"/>
  <c r="F168" i="11" l="1"/>
  <c r="E239" i="40" s="1"/>
  <c r="E247" i="40" s="1"/>
  <c r="C186" i="11"/>
  <c r="F186" i="11" l="1"/>
  <c r="F204" i="11" s="1"/>
  <c r="E292" i="40" s="1"/>
  <c r="E300" i="40" s="1"/>
  <c r="C204" i="11"/>
</calcChain>
</file>

<file path=xl/sharedStrings.xml><?xml version="1.0" encoding="utf-8"?>
<sst xmlns="http://schemas.openxmlformats.org/spreadsheetml/2006/main" count="1778" uniqueCount="237">
  <si>
    <t>รายการ</t>
  </si>
  <si>
    <t>รหัสบัญชี</t>
  </si>
  <si>
    <t>เดบิท</t>
  </si>
  <si>
    <t>เครดิต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</si>
  <si>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</si>
  <si>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</si>
  <si>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</si>
  <si>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</si>
  <si>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</si>
  <si>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</si>
  <si>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</si>
  <si>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</si>
  <si>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</si>
  <si>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</si>
  <si>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รายรับ</t>
  </si>
  <si>
    <t>เงินสะสม</t>
  </si>
  <si>
    <t>-</t>
  </si>
  <si>
    <t>รายงานรับ  -   จ่าย   เงินสด</t>
  </si>
  <si>
    <t xml:space="preserve">จนถึงปัจจุบัน </t>
  </si>
  <si>
    <t>เดือนนี้</t>
  </si>
  <si>
    <t>ประมาณการ</t>
  </si>
  <si>
    <t>บาท</t>
  </si>
  <si>
    <t>เกิดขึ้นจริง</t>
  </si>
  <si>
    <t>รหัส</t>
  </si>
  <si>
    <t>บัญชี</t>
  </si>
  <si>
    <t>ยอดยกมา</t>
  </si>
  <si>
    <t>ภาษีอากร</t>
  </si>
  <si>
    <t>ค่าธรรมเนียมฯ</t>
  </si>
  <si>
    <t>รายได้จากทรัพย์สิน</t>
  </si>
  <si>
    <t>รายได้จากสาธารณูปโภค</t>
  </si>
  <si>
    <t>รายได้เบ็ดเตล็ด</t>
  </si>
  <si>
    <t>รายได้จากทุน</t>
  </si>
  <si>
    <t>ภาษีจัดสรร</t>
  </si>
  <si>
    <t>รับฝาก   (หมายเหตุ  2)</t>
  </si>
  <si>
    <t>ลูกหนี้เงินยืมงบประมาณ</t>
  </si>
  <si>
    <t>รวมรายรับ</t>
  </si>
  <si>
    <t>รายจ่าย</t>
  </si>
  <si>
    <t>เงินรับฝาก (หมายเหตุ 2)</t>
  </si>
  <si>
    <t>รวมรายจ่าย</t>
  </si>
  <si>
    <t>สูงกว่า</t>
  </si>
  <si>
    <t>รายรับ          รายจ่าย</t>
  </si>
  <si>
    <t>(ต่ำกว่า)</t>
  </si>
  <si>
    <t>ยอดยกไป</t>
  </si>
  <si>
    <t>รายรับ  (หมายเหตุ  1)</t>
  </si>
  <si>
    <t>รวม</t>
  </si>
  <si>
    <t>รวมทั้งสิ้น</t>
  </si>
  <si>
    <t>เงินรับฝาก  (หมายเหตุ  2)</t>
  </si>
  <si>
    <t>รายละเอียดประกอบงบทดลอง     และรายรับ - จ่ายเงินสด</t>
  </si>
  <si>
    <t>รับ</t>
  </si>
  <si>
    <t>จ่าย</t>
  </si>
  <si>
    <t>หมายเหตุ</t>
  </si>
  <si>
    <t>ภาษีหัก   ณ   ที่จ่าย</t>
  </si>
  <si>
    <t>เงินประกันสัญญา</t>
  </si>
  <si>
    <t>ค่าใช้จ่ายในการจัดเก็บภาษีบำรุงท้องที่  5%</t>
  </si>
  <si>
    <t>เงินทุนสำรองเงินสะสม</t>
  </si>
  <si>
    <t>จ่ายขาดเงินสะสม</t>
  </si>
  <si>
    <t>ลูกหนี้เงินยืมเงินสะสม</t>
  </si>
  <si>
    <t>ส่วนลดในการจัดเก็บภาษีบำรุงท้องที่  6%</t>
  </si>
  <si>
    <t>คงเหลือ</t>
  </si>
  <si>
    <t>เงินฝากธนาคาร</t>
  </si>
  <si>
    <t>110606</t>
  </si>
  <si>
    <t>110605</t>
  </si>
  <si>
    <t>510000</t>
  </si>
  <si>
    <t>520000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</si>
  <si>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</si>
  <si>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</si>
  <si>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</si>
  <si>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</si>
  <si>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</si>
  <si>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</si>
  <si>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</si>
  <si>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</si>
  <si>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320000</t>
  </si>
  <si>
    <t>300000</t>
  </si>
  <si>
    <t>230100</t>
  </si>
  <si>
    <t>210402</t>
  </si>
  <si>
    <t>ชื่อบัญชี</t>
  </si>
  <si>
    <t>411000</t>
  </si>
  <si>
    <t>412000</t>
  </si>
  <si>
    <t>413000</t>
  </si>
  <si>
    <t>415000</t>
  </si>
  <si>
    <t>414000</t>
  </si>
  <si>
    <t>416000</t>
  </si>
  <si>
    <t>420000</t>
  </si>
  <si>
    <t>430000</t>
  </si>
  <si>
    <t>522000</t>
  </si>
  <si>
    <t>522001</t>
  </si>
  <si>
    <t>รายจ่ายเบิกตัดปี(ค้างจ่าย)</t>
  </si>
  <si>
    <t>110201</t>
  </si>
  <si>
    <t>110203</t>
  </si>
  <si>
    <t>ธนาคารกรุงไทย</t>
  </si>
  <si>
    <t>110202</t>
  </si>
  <si>
    <t>รายจ่ายรอจ่าย</t>
  </si>
  <si>
    <t>210500</t>
  </si>
  <si>
    <t>551000</t>
  </si>
  <si>
    <t>เทศบาลตำบลแสนสุข</t>
  </si>
  <si>
    <t xml:space="preserve">ที่ดินและสิ่งก่อสร้าง </t>
  </si>
  <si>
    <t xml:space="preserve">รายจ่ายอื่น </t>
  </si>
  <si>
    <t>วัสดุการศึกษา</t>
  </si>
  <si>
    <t>เงินหลักประกันสุขภาพ  สปสช.</t>
  </si>
  <si>
    <t>( นายจรูญ  เจือจันทร์ )</t>
  </si>
  <si>
    <t>ปลัดเทศบาลตำบลแสนสุข</t>
  </si>
  <si>
    <t>ลูกหนี้เงิน- ภาษีโรงเรือน</t>
  </si>
  <si>
    <t>สหกรณ์ออมทรัพย์ พนง.</t>
  </si>
  <si>
    <t>สหกรณ์ ออมทรัพย์ครู</t>
  </si>
  <si>
    <t>ธนาคารอาคารสงเคราะห์</t>
  </si>
  <si>
    <t>กฌ</t>
  </si>
  <si>
    <t xml:space="preserve"> -  ธนาคาร   กรุงไทย ออมทรัพย์   เลขที่  314-1-42112-9</t>
  </si>
  <si>
    <t xml:space="preserve"> -  ธนาคาร  ธกส. เผื่อเรียก   เลขที่  850-2-50109-1</t>
  </si>
  <si>
    <t xml:space="preserve"> -  ธนาคาร  ธกส. เผื่อเรียก (สปสช.)   เลขที่  850-2-99239-3</t>
  </si>
  <si>
    <t xml:space="preserve"> -  ธนาคารออมสิน  ประเภทฝากประจำ เลขที่ 3-00001481013</t>
  </si>
  <si>
    <t>รายจ่ายค้างจ่าย</t>
  </si>
  <si>
    <t>เงินฝากกองทุนส่งเสริมกิจการเทศบาล</t>
  </si>
  <si>
    <t>เจ้าหนี้เงินกู้ เงินกู้ ก.ส.ท.</t>
  </si>
  <si>
    <t>เงินอุดหนุนเฉพาะกิจค้างจ่าย</t>
  </si>
  <si>
    <t>เงินอุดหนุนเฉพาะกิจฝากจังหวัด</t>
  </si>
  <si>
    <t>ทรัพย์สินเกิดจากเงินกู้  กองทุนส่งเสริมกิจการเทศบาล</t>
  </si>
  <si>
    <t>เทศบาลตำบลแสนสุข     อำเภอวารินชำราบ     จังหวัดอุบลราชธานี</t>
  </si>
  <si>
    <t>(ลงชื่อ) ......…………………………..</t>
  </si>
  <si>
    <t xml:space="preserve"> -  ธนาคารกรุงไทย กระแสรายวัน เลขที่   314-6-02024-6</t>
  </si>
  <si>
    <t>(ลงชื่อ)..................................................</t>
  </si>
  <si>
    <t xml:space="preserve">         ( นางเพ็ญศรี  ศรีเข้ม )</t>
  </si>
  <si>
    <t xml:space="preserve">           ผู้อำนวยการกองคลัง</t>
  </si>
  <si>
    <t>( ลงชื่อ)....................................................</t>
  </si>
  <si>
    <t>ธนาคาร ธกส.</t>
  </si>
  <si>
    <t>ลูกหนี้เงิน- ภาษีป้าย</t>
  </si>
  <si>
    <t>120200</t>
  </si>
  <si>
    <t>130600</t>
  </si>
  <si>
    <t>220101</t>
  </si>
  <si>
    <t>ลูกหนี้เงินยืมเงินงบประมาณ</t>
  </si>
  <si>
    <t>ลูกหนี้เศรษฐกิจชุมชน</t>
  </si>
  <si>
    <t>ลูกหนี้ - ภาษีโรงเรือน</t>
  </si>
  <si>
    <t>ลูกหนี้ - ภาษีบำรุงท้องที่</t>
  </si>
  <si>
    <t>ลูกหนี้ - ภาษีป้าย</t>
  </si>
  <si>
    <t>เงินอุดหนุนเฉพาะกิจ -ด้านพัฒนาชุมชน</t>
  </si>
  <si>
    <t>เงินอุดหนุนเฉพาะกิจ -ด้านการศึกษา</t>
  </si>
  <si>
    <t xml:space="preserve">งบกลาง </t>
  </si>
  <si>
    <t>ลูกหนี้เงินเศรษฐกิจชุมชน</t>
  </si>
  <si>
    <t>ลูกหนี้เงิน- บำรุงท้องที่</t>
  </si>
  <si>
    <t>ภาษีหักหน้าฎีกา</t>
  </si>
  <si>
    <t>120100</t>
  </si>
  <si>
    <t>110604</t>
  </si>
  <si>
    <t>110601</t>
  </si>
  <si>
    <t>110602</t>
  </si>
  <si>
    <t>110603</t>
  </si>
  <si>
    <t>210300</t>
  </si>
  <si>
    <t>14000</t>
  </si>
  <si>
    <t>อำเภอวารินชำราบ       จังหวัดอุบลราชธานี</t>
  </si>
  <si>
    <t xml:space="preserve">            ผู้อำนวยการกองคลัง                                   ปลัดเทศบาลตำบลแสนสุข</t>
  </si>
  <si>
    <t xml:space="preserve">  ( นายทรงกรด  ไกรกังวาร )</t>
  </si>
  <si>
    <t xml:space="preserve">                                        ( นางเพ็ญศรี  ศรีเข้ม )</t>
  </si>
  <si>
    <t xml:space="preserve">                                     ผู้อำนวยการกองคลัง</t>
  </si>
  <si>
    <t xml:space="preserve">                                       ( นายจรูญ  เจือจันทร์ )</t>
  </si>
  <si>
    <t xml:space="preserve">                                   ปลัดเทศบาลตำบลแสนสุข</t>
  </si>
  <si>
    <t xml:space="preserve"> -  ธนาคารออมสิน  ประเภทออมทรัพย์ เลขที่ 020053879175 </t>
  </si>
  <si>
    <t>เงินอุดหนุนเฉพาะกิจ - เบี้ยผู้สูงอายุ</t>
  </si>
  <si>
    <t>เงินอุดหนุนเฉพาะกิจ - เบี้ยผู้พิการ</t>
  </si>
  <si>
    <t>เงินอุดหนุนเฉพาะกิจ - เงินเดือนครู</t>
  </si>
  <si>
    <t>เงินอุดหนุนเฉพาะกิจ - ค่าจ้างชั่วคราว</t>
  </si>
  <si>
    <t>เงินอุดหนุนเฉพาะกิจ - เงินสมทบประกันสังคม</t>
  </si>
  <si>
    <t>เงินอุดหนุนเฉพาะกิจ - ค่าตอบแทน</t>
  </si>
  <si>
    <t>ธนาคารออมสิน สาขาวารินชำราบ</t>
  </si>
  <si>
    <t>ธนาคารออมสิน  สาขาถนนสถลมาร์ค</t>
  </si>
  <si>
    <t>ค่าเช่าและบริการหอประชุมศาลาแสนสุข</t>
  </si>
  <si>
    <t xml:space="preserve"> -  ธนาคาร   กรุงไทย ออมทรัพย์   เลขที่  981-1-22177-4</t>
  </si>
  <si>
    <t xml:space="preserve"> -  ธนาคารกรุงไทย กระแสรายวัน เลขที่   981-1-22190-1</t>
  </si>
  <si>
    <t>(ลงชื่อ)……………………………..           (ลงชื่อ).………………………………......</t>
  </si>
  <si>
    <t xml:space="preserve">           ( นางเพ็ญศรี  ศรีเข้ม )                                      ( นายจรูญ  เจือจันทร์ )</t>
  </si>
  <si>
    <t xml:space="preserve">งบทดลอง </t>
  </si>
  <si>
    <t>ประจำเดือน ตุลาคม 2555</t>
  </si>
  <si>
    <t>เจ้าหนี้ ก.ส.ท.</t>
  </si>
  <si>
    <t xml:space="preserve">                          ( นายทรงกรด  ไกรกังวาร )</t>
  </si>
  <si>
    <t>ทรัพย์สินเกิดจากเงินกู้ ก.ส.ท.</t>
  </si>
  <si>
    <t>.</t>
  </si>
  <si>
    <t>งบกลาง (ก)</t>
  </si>
  <si>
    <t>7510000</t>
  </si>
  <si>
    <t>เงินอุดหนุนเฉพาะกิจ - โครงการสนับสนุน คชจ.ในการจัดการศึกษาฯ</t>
  </si>
  <si>
    <t>ค่าตอบแทน (ก)</t>
  </si>
  <si>
    <t>7531000</t>
  </si>
  <si>
    <t>ค่าใช้สอย (ก)</t>
  </si>
  <si>
    <t>7532000</t>
  </si>
  <si>
    <t>30000</t>
  </si>
  <si>
    <t xml:space="preserve"> -  ธนาคาร  ธกส. เผื่อเรียก เลขที่  850-2-65453-3</t>
  </si>
  <si>
    <t>เงินเดือน (ก)</t>
  </si>
  <si>
    <t>7520000</t>
  </si>
  <si>
    <t>ค่าจ้างชั่วคราว (ก)</t>
  </si>
  <si>
    <t xml:space="preserve">                         </t>
  </si>
  <si>
    <t>210200</t>
  </si>
  <si>
    <t>รายจ่ายผลัดส่งใบสำคัญ</t>
  </si>
  <si>
    <t>ปฏิบัติหน้าที่นายกเทศมนตรีตำบลแสนสุข</t>
  </si>
  <si>
    <t xml:space="preserve">       ปฏิบัติหน้าที่ นายกเทศมนตรีตำบลแสนสุข</t>
  </si>
  <si>
    <t xml:space="preserve">                                (ลงชื่อ)………………………………….</t>
  </si>
  <si>
    <t xml:space="preserve">             (ลงชื่อ) ....……………………………</t>
  </si>
  <si>
    <t xml:space="preserve">             (ลงชื่อ) .....……………………………</t>
  </si>
  <si>
    <t>ณ   วันที่  31  ตุลาคม  พ.ศ.   2556</t>
  </si>
  <si>
    <t>ประจำเดือน   ตุลาคม  2556</t>
  </si>
  <si>
    <t xml:space="preserve">                          ( นายจรูญ  เจือจันทร์ )</t>
  </si>
  <si>
    <t xml:space="preserve">         ปลัดเทศบาลตำบลแสนสุข</t>
  </si>
  <si>
    <t xml:space="preserve">             ปฏิบัติหน้าที่นายกเทศมนตรีตำบลแสนสุข</t>
  </si>
  <si>
    <t>ปีงบประมาณ     2557</t>
  </si>
  <si>
    <t>เดือนตุลาคม 2556</t>
  </si>
  <si>
    <t>ประจำเดือน พฤศจิกายน 2556</t>
  </si>
  <si>
    <t>เงินอุดหนุนเฉพาะกิจ-เบี้ยยังชีพผู้สูงอายุ ปี56 (งบกลาง)</t>
  </si>
  <si>
    <t>ประจำเดือน   พฤศจิกายน  2556</t>
  </si>
  <si>
    <t>เงินอุดหนุนเฉพาะกิจ-เบี้ยยังชีพผู้สุงอายุ ปี 56</t>
  </si>
  <si>
    <t xml:space="preserve">             นายกเทศมนตรีตำบลแสนสุข</t>
  </si>
  <si>
    <t>ณ   วันที่  29  พฤศจิกายน  พ.ศ.   2556</t>
  </si>
  <si>
    <t xml:space="preserve">     นายกเทศมนตรีตำบลแสนสุข</t>
  </si>
  <si>
    <t xml:space="preserve">                                       ( นายทรงกรด  ไกรกังวาร )</t>
  </si>
  <si>
    <t xml:space="preserve">                                      นายกเทศมนตรีตำบลแสนสุข</t>
  </si>
  <si>
    <t>ณ   วันที่  27  ธันวาคม  พ.ศ.   2556</t>
  </si>
  <si>
    <t>ประจำเดือน ธันวาคม  2556</t>
  </si>
  <si>
    <t>ประจำเดือน   ธันวาคม  2556</t>
  </si>
  <si>
    <t>เดือนพฤศจิกายน 2556</t>
  </si>
  <si>
    <t>เดือนธันวาคม  2556</t>
  </si>
  <si>
    <t xml:space="preserve">              นายกเทศมนตรีตำบลแสนสุข</t>
  </si>
  <si>
    <t xml:space="preserve">                              ( นายทรงกรด  ไกรกังวาร )</t>
  </si>
  <si>
    <t>ประจำเดือนมกราคม  2557</t>
  </si>
  <si>
    <t>ประจำเดือน   มกราคม  2557</t>
  </si>
  <si>
    <t>เงินค่ารักษาพยาบาลจ่ายตรง อปท.</t>
  </si>
  <si>
    <t>เงินประกันสังคมพนักงาน 5 %</t>
  </si>
  <si>
    <t>รายรับ-เงินอุดหนุนเฉพาะกิจเบี้ยยังชีพผู้สูงอายุ</t>
  </si>
  <si>
    <t>ณ   วันที่  31  มกราคม  พ.ศ.   2557</t>
  </si>
  <si>
    <t>เดือนมกราคม  2557</t>
  </si>
  <si>
    <t>เงินเกินบัญชี</t>
  </si>
  <si>
    <t>230200</t>
  </si>
  <si>
    <t>เงินหลักประกันซอง</t>
  </si>
  <si>
    <t>ณ   วันที่  28  กุมภาพันธ์ พ.ศ.   2557</t>
  </si>
  <si>
    <t>ประจำเดือนกุมภาพันธ์  2557</t>
  </si>
  <si>
    <t>ประจำเดือน   กุมภาพันธ์  2557</t>
  </si>
  <si>
    <t>เงินปันผลและเฉลี่ยคืนสหกรณ์ออมทรัพย์ พนง.</t>
  </si>
  <si>
    <t>เดือนกุมภาพันธ์  2557</t>
  </si>
  <si>
    <t>ณ   วันที่  31  มีนาคม พ.ศ.   2557</t>
  </si>
  <si>
    <t>ประจำเดือน   มีนาคม  2557</t>
  </si>
  <si>
    <t>ประจำเดือนมีนาคม  2557</t>
  </si>
  <si>
    <t>เดือนมีนาคม  2557</t>
  </si>
  <si>
    <t>ค่าซ่อมแซมรถ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</si>
</sst>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_(* #,##0_);_(* \(#,##0\);_(* &quot;-&quot;??_);_(@_)"/>
  </numFmts>
  <fonts count="13" x14ac:knownFonts="1">
    <font>
      <b/>
      <sz val="12"/>
      <color indexed="8"/>
      <name val="Angsana New"/>
      <family val="1"/>
    </font>
    <font>
      <b/>
      <sz val="14"/>
      <name val="Cordia New"/>
      <family val="2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6.2"/>
      <name val="Angsana New"/>
      <family val="1"/>
    </font>
    <font>
      <b/>
      <sz val="16.5"/>
      <name val="Angsana New"/>
      <family val="1"/>
    </font>
    <font>
      <sz val="16.5"/>
      <name val="Angsana New"/>
      <family val="1"/>
    </font>
    <font>
      <sz val="16"/>
      <color rgb="FFFF0000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6.5"/>
      <color rgb="FFFF0000"/>
      <name val="Angsana New"/>
      <family val="1"/>
    </font>
    <font>
      <sz val="16.2"/>
      <name val="Angsana New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188" fontId="4" fillId="0" borderId="4" xfId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9" xfId="0" applyFont="1" applyBorder="1"/>
    <xf numFmtId="188" fontId="4" fillId="0" borderId="4" xfId="1" applyFont="1" applyBorder="1"/>
    <xf numFmtId="188" fontId="4" fillId="0" borderId="8" xfId="1" applyFont="1" applyBorder="1"/>
    <xf numFmtId="49" fontId="4" fillId="0" borderId="8" xfId="0" applyNumberFormat="1" applyFont="1" applyBorder="1" applyAlignment="1">
      <alignment horizontal="center"/>
    </xf>
    <xf numFmtId="188" fontId="4" fillId="0" borderId="1" xfId="1" applyFont="1" applyBorder="1"/>
    <xf numFmtId="0" fontId="4" fillId="0" borderId="11" xfId="0" applyFont="1" applyBorder="1"/>
    <xf numFmtId="188" fontId="4" fillId="0" borderId="4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43" fontId="4" fillId="0" borderId="0" xfId="0" applyNumberFormat="1" applyFont="1" applyBorder="1"/>
    <xf numFmtId="0" fontId="4" fillId="0" borderId="0" xfId="0" applyFont="1" applyBorder="1"/>
    <xf numFmtId="188" fontId="4" fillId="0" borderId="3" xfId="1" applyFont="1" applyBorder="1"/>
    <xf numFmtId="188" fontId="3" fillId="0" borderId="0" xfId="1" applyFont="1"/>
    <xf numFmtId="43" fontId="4" fillId="0" borderId="4" xfId="1" applyNumberFormat="1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Fill="1"/>
    <xf numFmtId="188" fontId="4" fillId="0" borderId="0" xfId="1" applyFont="1"/>
    <xf numFmtId="188" fontId="3" fillId="0" borderId="5" xfId="1" applyFont="1" applyBorder="1"/>
    <xf numFmtId="0" fontId="4" fillId="0" borderId="3" xfId="0" applyFont="1" applyBorder="1"/>
    <xf numFmtId="0" fontId="3" fillId="0" borderId="0" xfId="0" applyFont="1" applyFill="1"/>
    <xf numFmtId="0" fontId="4" fillId="0" borderId="17" xfId="0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88" fontId="4" fillId="0" borderId="0" xfId="1" applyFont="1" applyFill="1"/>
    <xf numFmtId="188" fontId="4" fillId="0" borderId="3" xfId="1" applyFont="1" applyFill="1" applyBorder="1"/>
    <xf numFmtId="0" fontId="4" fillId="0" borderId="3" xfId="0" applyFont="1" applyFill="1" applyBorder="1"/>
    <xf numFmtId="49" fontId="4" fillId="0" borderId="2" xfId="0" applyNumberFormat="1" applyFont="1" applyFill="1" applyBorder="1" applyAlignment="1">
      <alignment horizontal="center"/>
    </xf>
    <xf numFmtId="188" fontId="4" fillId="0" borderId="4" xfId="1" applyFont="1" applyFill="1" applyBorder="1"/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0" xfId="0" applyNumberFormat="1" applyFont="1" applyFill="1" applyBorder="1"/>
    <xf numFmtId="188" fontId="4" fillId="0" borderId="0" xfId="0" applyNumberFormat="1" applyFont="1" applyFill="1"/>
    <xf numFmtId="188" fontId="4" fillId="0" borderId="0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Fill="1" applyBorder="1"/>
    <xf numFmtId="0" fontId="3" fillId="0" borderId="20" xfId="0" applyFont="1" applyBorder="1"/>
    <xf numFmtId="188" fontId="3" fillId="0" borderId="5" xfId="1" applyFont="1" applyBorder="1" applyAlignment="1">
      <alignment horizontal="center"/>
    </xf>
    <xf numFmtId="188" fontId="3" fillId="0" borderId="20" xfId="0" applyNumberFormat="1" applyFont="1" applyBorder="1"/>
    <xf numFmtId="43" fontId="3" fillId="0" borderId="21" xfId="0" applyNumberFormat="1" applyFont="1" applyBorder="1" applyAlignment="1">
      <alignment horizontal="center"/>
    </xf>
    <xf numFmtId="0" fontId="3" fillId="0" borderId="22" xfId="0" applyFont="1" applyBorder="1"/>
    <xf numFmtId="0" fontId="4" fillId="0" borderId="23" xfId="0" applyFont="1" applyBorder="1"/>
    <xf numFmtId="49" fontId="4" fillId="0" borderId="4" xfId="0" applyNumberFormat="1" applyFont="1" applyBorder="1" applyAlignment="1">
      <alignment horizontal="center"/>
    </xf>
    <xf numFmtId="0" fontId="5" fillId="0" borderId="0" xfId="0" applyFont="1"/>
    <xf numFmtId="49" fontId="7" fillId="0" borderId="4" xfId="0" applyNumberFormat="1" applyFont="1" applyBorder="1" applyAlignment="1">
      <alignment horizontal="center"/>
    </xf>
    <xf numFmtId="187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23" xfId="0" applyFont="1" applyBorder="1"/>
    <xf numFmtId="0" fontId="6" fillId="0" borderId="27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9" fillId="0" borderId="0" xfId="0" applyFont="1"/>
    <xf numFmtId="188" fontId="4" fillId="0" borderId="17" xfId="1" applyFont="1" applyBorder="1"/>
    <xf numFmtId="0" fontId="3" fillId="0" borderId="18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9" fontId="10" fillId="0" borderId="0" xfId="0" applyNumberFormat="1" applyFont="1" applyBorder="1" applyAlignment="1">
      <alignment horizontal="center"/>
    </xf>
    <xf numFmtId="188" fontId="3" fillId="0" borderId="18" xfId="1" applyFont="1" applyBorder="1"/>
    <xf numFmtId="0" fontId="3" fillId="0" borderId="2" xfId="0" applyFont="1" applyFill="1" applyBorder="1"/>
    <xf numFmtId="43" fontId="3" fillId="0" borderId="0" xfId="0" applyNumberFormat="1" applyFont="1"/>
    <xf numFmtId="43" fontId="4" fillId="0" borderId="0" xfId="0" applyNumberFormat="1" applyFont="1" applyFill="1"/>
    <xf numFmtId="0" fontId="3" fillId="0" borderId="19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8" fontId="3" fillId="0" borderId="5" xfId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8" fontId="3" fillId="0" borderId="0" xfId="1" applyNumberFormat="1" applyFont="1" applyFill="1" applyBorder="1" applyAlignment="1">
      <alignment horizontal="center"/>
    </xf>
    <xf numFmtId="188" fontId="3" fillId="0" borderId="12" xfId="1" applyNumberFormat="1" applyFont="1" applyFill="1" applyBorder="1" applyAlignment="1">
      <alignment horizontal="center"/>
    </xf>
    <xf numFmtId="188" fontId="3" fillId="0" borderId="7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9" xfId="0" applyNumberFormat="1" applyFont="1" applyBorder="1"/>
    <xf numFmtId="188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0" xfId="0" applyFont="1"/>
    <xf numFmtId="188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189" fontId="1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8" fontId="4" fillId="0" borderId="0" xfId="0" applyNumberFormat="1" applyFont="1" applyFill="1" applyAlignment="1"/>
    <xf numFmtId="188" fontId="4" fillId="0" borderId="8" xfId="1" applyNumberFormat="1" applyFont="1" applyFill="1" applyBorder="1" applyAlignment="1">
      <alignment horizontal="center"/>
    </xf>
    <xf numFmtId="188" fontId="4" fillId="0" borderId="9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8" fillId="0" borderId="4" xfId="0" applyNumberFormat="1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188" fontId="4" fillId="0" borderId="8" xfId="1" applyNumberFormat="1" applyFont="1" applyFill="1" applyBorder="1" applyAlignment="1">
      <alignment horizontal="center"/>
    </xf>
    <xf numFmtId="188" fontId="4" fillId="0" borderId="9" xfId="1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49" fontId="4" fillId="0" borderId="10" xfId="0" applyNumberFormat="1" applyFont="1" applyBorder="1" applyAlignment="1">
      <alignment horizontal="center"/>
    </xf>
    <xf numFmtId="188" fontId="4" fillId="0" borderId="1" xfId="1" applyFont="1" applyBorder="1" applyAlignment="1">
      <alignment horizontal="center"/>
    </xf>
    <xf numFmtId="188" fontId="6" fillId="0" borderId="25" xfId="1" applyFont="1" applyBorder="1" applyAlignment="1">
      <alignment horizontal="center"/>
    </xf>
    <xf numFmtId="188" fontId="6" fillId="0" borderId="34" xfId="1" applyFont="1" applyBorder="1" applyAlignment="1">
      <alignment horizontal="center"/>
    </xf>
    <xf numFmtId="188" fontId="6" fillId="0" borderId="26" xfId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189" fontId="10" fillId="0" borderId="0" xfId="1" applyNumberFormat="1" applyFont="1" applyAlignment="1">
      <alignment horizontal="center"/>
    </xf>
    <xf numFmtId="188" fontId="7" fillId="0" borderId="8" xfId="1" applyFont="1" applyBorder="1" applyAlignment="1">
      <alignment horizontal="center"/>
    </xf>
    <xf numFmtId="188" fontId="7" fillId="0" borderId="9" xfId="1" applyFont="1" applyBorder="1" applyAlignment="1">
      <alignment horizontal="center"/>
    </xf>
    <xf numFmtId="188" fontId="7" fillId="0" borderId="24" xfId="1" applyFont="1" applyBorder="1" applyAlignment="1">
      <alignment horizontal="center"/>
    </xf>
    <xf numFmtId="188" fontId="11" fillId="0" borderId="8" xfId="1" applyFont="1" applyBorder="1" applyAlignment="1">
      <alignment horizontal="center"/>
    </xf>
    <xf numFmtId="188" fontId="11" fillId="0" borderId="9" xfId="1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188" fontId="4" fillId="0" borderId="24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88" fontId="7" fillId="0" borderId="8" xfId="1" applyFont="1" applyFill="1" applyBorder="1" applyAlignment="1">
      <alignment horizontal="center"/>
    </xf>
    <xf numFmtId="188" fontId="7" fillId="0" borderId="9" xfId="1" applyFont="1" applyFill="1" applyBorder="1" applyAlignment="1">
      <alignment horizontal="center"/>
    </xf>
    <xf numFmtId="188" fontId="4" fillId="0" borderId="9" xfId="1" applyFont="1" applyBorder="1" applyAlignment="1">
      <alignment horizontal="center"/>
    </xf>
    <xf numFmtId="188" fontId="4" fillId="0" borderId="13" xfId="1" applyNumberFormat="1" applyFont="1" applyFill="1" applyBorder="1" applyAlignment="1">
      <alignment horizontal="center"/>
    </xf>
    <xf numFmtId="188" fontId="4" fillId="0" borderId="15" xfId="1" applyNumberFormat="1" applyFont="1" applyFill="1" applyBorder="1" applyAlignment="1">
      <alignment horizontal="center"/>
    </xf>
    <xf numFmtId="188" fontId="4" fillId="0" borderId="8" xfId="1" applyNumberFormat="1" applyFont="1" applyFill="1" applyBorder="1" applyAlignment="1">
      <alignment horizontal="center"/>
    </xf>
    <xf numFmtId="188" fontId="4" fillId="0" borderId="9" xfId="1" applyNumberFormat="1" applyFont="1" applyFill="1" applyBorder="1" applyAlignment="1">
      <alignment horizontal="center"/>
    </xf>
    <xf numFmtId="188" fontId="8" fillId="0" borderId="8" xfId="1" applyNumberFormat="1" applyFont="1" applyFill="1" applyBorder="1" applyAlignment="1">
      <alignment horizontal="center"/>
    </xf>
    <xf numFmtId="188" fontId="8" fillId="0" borderId="9" xfId="1" applyNumberFormat="1" applyFont="1" applyFill="1" applyBorder="1" applyAlignment="1">
      <alignment horizontal="center"/>
    </xf>
    <xf numFmtId="188" fontId="4" fillId="0" borderId="8" xfId="1" applyNumberFormat="1" applyFont="1" applyBorder="1" applyAlignment="1">
      <alignment horizontal="center"/>
    </xf>
    <xf numFmtId="188" fontId="4" fillId="0" borderId="9" xfId="1" applyNumberFormat="1" applyFont="1" applyBorder="1" applyAlignment="1">
      <alignment horizontal="center"/>
    </xf>
    <xf numFmtId="188" fontId="3" fillId="0" borderId="20" xfId="1" applyNumberFormat="1" applyFont="1" applyBorder="1" applyAlignment="1">
      <alignment horizontal="center"/>
    </xf>
    <xf numFmtId="188" fontId="3" fillId="0" borderId="22" xfId="1" applyNumberFormat="1" applyFont="1" applyBorder="1" applyAlignment="1">
      <alignment horizontal="center"/>
    </xf>
    <xf numFmtId="188" fontId="4" fillId="0" borderId="31" xfId="1" applyNumberFormat="1" applyFont="1" applyFill="1" applyBorder="1" applyAlignment="1">
      <alignment horizontal="center"/>
    </xf>
    <xf numFmtId="188" fontId="4" fillId="0" borderId="32" xfId="1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8" fontId="3" fillId="0" borderId="31" xfId="1" applyNumberFormat="1" applyFont="1" applyBorder="1" applyAlignment="1">
      <alignment horizontal="center"/>
    </xf>
    <xf numFmtId="188" fontId="3" fillId="0" borderId="32" xfId="1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8" fontId="3" fillId="0" borderId="13" xfId="1" applyNumberFormat="1" applyFont="1" applyFill="1" applyBorder="1" applyAlignment="1">
      <alignment horizontal="center"/>
    </xf>
    <xf numFmtId="188" fontId="3" fillId="0" borderId="15" xfId="1" applyNumberFormat="1" applyFont="1" applyFill="1" applyBorder="1" applyAlignment="1">
      <alignment horizontal="center"/>
    </xf>
    <xf numFmtId="188" fontId="3" fillId="0" borderId="8" xfId="1" applyNumberFormat="1" applyFont="1" applyFill="1" applyBorder="1" applyAlignment="1">
      <alignment horizontal="center"/>
    </xf>
    <xf numFmtId="188" fontId="3" fillId="0" borderId="9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88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88" fontId="3" fillId="0" borderId="20" xfId="1" applyNumberFormat="1" applyFont="1" applyFill="1" applyBorder="1" applyAlignment="1">
      <alignment horizontal="center"/>
    </xf>
    <xf numFmtId="188" fontId="3" fillId="0" borderId="22" xfId="1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7" name="Line 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58" name="Line 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9" name="Line 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0" name="Line 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1" name="Line 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2" name="Line 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3" name="Line 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4" name="Line 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5" name="Line 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6" name="Line 1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7" name="Line 1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8" name="Line 1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9" name="Line 1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0" name="Line 1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1" name="Line 1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2" name="Line 1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3" name="Line 1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4" name="Line 2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5" name="Line 2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6" name="Line 2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7" name="Line 2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8" name="Line 2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9" name="Line 2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0" name="Line 2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1" name="Line 2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2" name="Line 2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3" name="Line 2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4" name="Line 3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5" name="Line 3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6" name="Line 3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7" name="Line 3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8" name="Line 3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9" name="Line 3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0" name="Line 3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1" name="Line 3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2" name="Line 3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3" name="Line 3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4" name="Line 4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5" name="Line 4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6" name="Line 4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7" name="Line 4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8" name="Line 4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9" name="Line 4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0" name="Line 4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1" name="Line 4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2" name="Line 4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3" name="Line 4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4" name="Line 5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5" name="Line 5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6" name="Line 5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7" name="Line 5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8" name="Line 5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9" name="Line 5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0" name="Line 5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1" name="Line 5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2" name="Line 5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3" name="Line 5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4" name="Line 6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5" name="Line 6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6" name="Line 6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7" name="Line 6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8" name="Line 6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9" name="Line 6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0" name="Line 6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1" name="Line 6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2" name="Line 6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3" name="Line 6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4" name="Line 7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5" name="Line 7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6" name="Line 7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7" name="Line 7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8" name="Line 7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9" name="Line 7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0" name="Line 7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1" name="Line 7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2" name="Line 7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3" name="Line 7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4" name="Line 8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5" name="Line 8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6" name="Line 8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7" name="Line 8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8" name="Line 8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9" name="Line 8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0" name="Line 8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1" name="Line 8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2" name="Line 8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3" name="Line 8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4" name="Line 9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1104900</xdr:colOff>
      <xdr:row>141</xdr:row>
      <xdr:rowOff>19050</xdr:rowOff>
    </xdr:from>
    <xdr:to>
      <xdr:col>3</xdr:col>
      <xdr:colOff>1104900</xdr:colOff>
      <xdr:row>171</xdr:row>
      <xdr:rowOff>19050</xdr:rowOff>
    </xdr:to>
    <xdr:cxnSp macro="">
      <xdr:nvCxnSpPr>
        <xdr:cNvPr id="366853" name="ตัวเชื่อมต่อตรง 118"/>
        <xdr:cNvCxnSpPr>
          <a:cxnSpLocks noChangeShapeType="1"/>
        </xdr:cNvCxnSpPr>
      </xdr:nvCxnSpPr>
      <xdr:spPr bwMode="auto">
        <a:xfrm rot="5400000">
          <a:off x="-1938338" y="52906613"/>
          <a:ext cx="829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168</xdr:row>
      <xdr:rowOff>1724025</xdr:rowOff>
    </xdr:to>
    <xdr:cxnSp macro="">
      <xdr:nvCxnSpPr>
        <xdr:cNvPr id="366854" name="ตัวเชื่อมต่อตรง 120"/>
        <xdr:cNvCxnSpPr>
          <a:cxnSpLocks noChangeShapeType="1"/>
        </xdr:cNvCxnSpPr>
      </xdr:nvCxnSpPr>
      <xdr:spPr bwMode="auto">
        <a:xfrm rot="5400000">
          <a:off x="-1785938" y="52735163"/>
          <a:ext cx="79914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tabSelected="1" view="pageBreakPreview" zoomScaleSheetLayoutView="100" workbookViewId="0">
      <selection activeCell="J10" sqref="J10"/>
    </sheetView>
  </sheetViews>
  <sheetFormatPr defaultRowHeight="24" x14ac:dyDescent="0.5"/>
  <cols>
    <col min="1" max="1" width="93.3984375" style="51" customWidth="1"/>
    <col min="2" max="2" width="21.3984375" style="51" customWidth="1"/>
    <col min="3" max="3" width="13.19921875" style="51" customWidth="1"/>
    <col min="4" max="4" width="25.796875" style="51" customWidth="1"/>
    <col min="5" max="5" width="13.19921875" style="51" customWidth="1"/>
    <col min="6" max="6" width="21.59765625" style="51" customWidth="1"/>
    <col min="7" max="16384" width="9.59765625" style="51"/>
  </cols>
  <sheetData>
    <row r="1" spans="1:6" x14ac:dyDescent="0.5">
      <c r="A1" s="144" t="s">
        <v>95</v>
      </c>
      <c r="B1" s="144"/>
      <c r="C1" s="144"/>
      <c r="D1" s="144"/>
      <c r="E1" s="144"/>
      <c r="F1" s="144"/>
    </row>
    <row r="2" spans="1:6" x14ac:dyDescent="0.5">
      <c r="A2" s="144" t="s">
        <v>168</v>
      </c>
      <c r="B2" s="144"/>
      <c r="C2" s="144"/>
      <c r="D2" s="144"/>
      <c r="E2" s="144"/>
      <c r="F2" s="144"/>
    </row>
    <row r="3" spans="1:6" ht="24.75" thickBot="1" x14ac:dyDescent="0.55000000000000004">
      <c r="A3" s="145" t="s">
        <v>194</v>
      </c>
      <c r="B3" s="145"/>
      <c r="C3" s="145"/>
      <c r="D3" s="145"/>
      <c r="E3" s="145"/>
      <c r="F3" s="145"/>
    </row>
    <row r="4" spans="1:6" x14ac:dyDescent="0.5">
      <c r="A4" s="146" t="s">
        <v>76</v>
      </c>
      <c r="B4" s="148" t="s">
        <v>1</v>
      </c>
      <c r="C4" s="148" t="s">
        <v>2</v>
      </c>
      <c r="D4" s="148"/>
      <c r="E4" s="148" t="s">
        <v>3</v>
      </c>
      <c r="F4" s="150"/>
    </row>
    <row r="5" spans="1:6" ht="14.25" customHeight="1" thickBot="1" x14ac:dyDescent="0.55000000000000004">
      <c r="A5" s="147"/>
      <c r="B5" s="149"/>
      <c r="C5" s="149"/>
      <c r="D5" s="149"/>
      <c r="E5" s="149"/>
      <c r="F5" s="151"/>
    </row>
    <row r="6" spans="1:6" ht="24.75" thickTop="1" x14ac:dyDescent="0.5">
      <c r="A6" s="55" t="s">
        <v>59</v>
      </c>
      <c r="B6" s="52"/>
      <c r="C6" s="137"/>
      <c r="D6" s="138"/>
      <c r="E6" s="137"/>
      <c r="F6" s="139"/>
    </row>
    <row r="7" spans="1:6" x14ac:dyDescent="0.5">
      <c r="A7" s="55" t="s">
        <v>107</v>
      </c>
      <c r="B7" s="52" t="s">
        <v>88</v>
      </c>
      <c r="C7" s="137">
        <f>8200534.35-1485752+147708.03-35535</f>
        <v>6826955.3799999999</v>
      </c>
      <c r="D7" s="138"/>
      <c r="E7" s="137"/>
      <c r="F7" s="139"/>
    </row>
    <row r="8" spans="1:6" x14ac:dyDescent="0.5">
      <c r="A8" s="55" t="s">
        <v>119</v>
      </c>
      <c r="B8" s="52" t="s">
        <v>91</v>
      </c>
      <c r="C8" s="152">
        <f>2986075.92-147708.03-1249255</f>
        <v>1589112.8900000001</v>
      </c>
      <c r="D8" s="153"/>
      <c r="E8" s="137"/>
      <c r="F8" s="139"/>
    </row>
    <row r="9" spans="1:6" x14ac:dyDescent="0.5">
      <c r="A9" s="55" t="s">
        <v>164</v>
      </c>
      <c r="B9" s="52" t="s">
        <v>88</v>
      </c>
      <c r="C9" s="137">
        <f>5120535.83+10130</f>
        <v>5130665.83</v>
      </c>
      <c r="D9" s="138"/>
      <c r="E9" s="137"/>
      <c r="F9" s="139"/>
    </row>
    <row r="10" spans="1:6" x14ac:dyDescent="0.5">
      <c r="A10" s="55" t="s">
        <v>165</v>
      </c>
      <c r="B10" s="52" t="s">
        <v>91</v>
      </c>
      <c r="C10" s="152">
        <v>0</v>
      </c>
      <c r="D10" s="153"/>
      <c r="E10" s="137"/>
      <c r="F10" s="139"/>
    </row>
    <row r="11" spans="1:6" x14ac:dyDescent="0.5">
      <c r="A11" s="55" t="s">
        <v>108</v>
      </c>
      <c r="B11" s="52" t="s">
        <v>88</v>
      </c>
      <c r="C11" s="152">
        <f>26271170-2106061.2+110661.7+1249255+35535</f>
        <v>25560560.5</v>
      </c>
      <c r="D11" s="153"/>
      <c r="E11" s="137"/>
      <c r="F11" s="139"/>
    </row>
    <row r="12" spans="1:6" x14ac:dyDescent="0.5">
      <c r="A12" s="55" t="s">
        <v>109</v>
      </c>
      <c r="B12" s="52" t="s">
        <v>88</v>
      </c>
      <c r="C12" s="137">
        <v>2184388.52</v>
      </c>
      <c r="D12" s="138"/>
      <c r="E12" s="137"/>
      <c r="F12" s="139"/>
    </row>
    <row r="13" spans="1:6" x14ac:dyDescent="0.5">
      <c r="A13" s="55" t="s">
        <v>182</v>
      </c>
      <c r="B13" s="52" t="s">
        <v>88</v>
      </c>
      <c r="C13" s="137">
        <v>1712961.47</v>
      </c>
      <c r="D13" s="138"/>
      <c r="E13" s="137"/>
      <c r="F13" s="139"/>
    </row>
    <row r="14" spans="1:6" x14ac:dyDescent="0.5">
      <c r="A14" s="55" t="s">
        <v>110</v>
      </c>
      <c r="B14" s="52" t="s">
        <v>89</v>
      </c>
      <c r="C14" s="137">
        <f>5000000+172356.18</f>
        <v>5172356.18</v>
      </c>
      <c r="D14" s="138"/>
      <c r="E14" s="137"/>
      <c r="F14" s="139"/>
    </row>
    <row r="15" spans="1:6" x14ac:dyDescent="0.5">
      <c r="A15" s="55" t="s">
        <v>154</v>
      </c>
      <c r="B15" s="52" t="s">
        <v>89</v>
      </c>
      <c r="C15" s="137">
        <v>5082235.13</v>
      </c>
      <c r="D15" s="138"/>
      <c r="E15" s="137"/>
      <c r="F15" s="139"/>
    </row>
    <row r="16" spans="1:6" s="14" customFormat="1" ht="23.25" x14ac:dyDescent="0.5">
      <c r="A16" s="49" t="s">
        <v>115</v>
      </c>
      <c r="B16" s="50" t="s">
        <v>140</v>
      </c>
      <c r="C16" s="142">
        <f>814639-107699</f>
        <v>706940</v>
      </c>
      <c r="D16" s="154"/>
      <c r="E16" s="142"/>
      <c r="F16" s="143"/>
    </row>
    <row r="17" spans="1:6" x14ac:dyDescent="0.5">
      <c r="A17" s="55" t="s">
        <v>112</v>
      </c>
      <c r="B17" s="52" t="s">
        <v>126</v>
      </c>
      <c r="C17" s="137">
        <v>10430235.93</v>
      </c>
      <c r="D17" s="138"/>
      <c r="E17" s="137"/>
      <c r="F17" s="139"/>
    </row>
    <row r="18" spans="1:6" x14ac:dyDescent="0.5">
      <c r="A18" s="55" t="s">
        <v>116</v>
      </c>
      <c r="B18" s="52" t="s">
        <v>127</v>
      </c>
      <c r="C18" s="137">
        <v>81353788.239999995</v>
      </c>
      <c r="D18" s="138"/>
      <c r="E18" s="137"/>
      <c r="F18" s="139"/>
    </row>
    <row r="19" spans="1:6" x14ac:dyDescent="0.5">
      <c r="A19" s="55" t="s">
        <v>129</v>
      </c>
      <c r="B19" s="52" t="s">
        <v>61</v>
      </c>
      <c r="C19" s="137">
        <f>60560</f>
        <v>60560</v>
      </c>
      <c r="D19" s="138"/>
      <c r="E19" s="137"/>
      <c r="F19" s="139"/>
    </row>
    <row r="20" spans="1:6" x14ac:dyDescent="0.5">
      <c r="A20" s="55" t="s">
        <v>130</v>
      </c>
      <c r="B20" s="52" t="s">
        <v>141</v>
      </c>
      <c r="C20" s="137">
        <v>256900</v>
      </c>
      <c r="D20" s="138"/>
      <c r="E20" s="137"/>
      <c r="F20" s="139"/>
    </row>
    <row r="21" spans="1:6" x14ac:dyDescent="0.5">
      <c r="A21" s="55" t="s">
        <v>56</v>
      </c>
      <c r="B21" s="52" t="s">
        <v>60</v>
      </c>
      <c r="C21" s="137">
        <f>41500+1600330</f>
        <v>1641830</v>
      </c>
      <c r="D21" s="138"/>
      <c r="E21" s="137"/>
      <c r="F21" s="139"/>
    </row>
    <row r="22" spans="1:6" x14ac:dyDescent="0.5">
      <c r="A22" s="55" t="s">
        <v>131</v>
      </c>
      <c r="B22" s="52" t="s">
        <v>142</v>
      </c>
      <c r="C22" s="137">
        <v>449207</v>
      </c>
      <c r="D22" s="138"/>
      <c r="E22" s="137"/>
      <c r="F22" s="139"/>
    </row>
    <row r="23" spans="1:6" x14ac:dyDescent="0.5">
      <c r="A23" s="55" t="s">
        <v>132</v>
      </c>
      <c r="B23" s="52" t="s">
        <v>143</v>
      </c>
      <c r="C23" s="137">
        <f>10471.85-114</f>
        <v>10357.85</v>
      </c>
      <c r="D23" s="138"/>
      <c r="E23" s="137"/>
      <c r="F23" s="139"/>
    </row>
    <row r="24" spans="1:6" x14ac:dyDescent="0.5">
      <c r="A24" s="55" t="s">
        <v>133</v>
      </c>
      <c r="B24" s="52" t="s">
        <v>144</v>
      </c>
      <c r="C24" s="137">
        <f>157496-200</f>
        <v>157296</v>
      </c>
      <c r="D24" s="138"/>
      <c r="E24" s="137"/>
      <c r="F24" s="139"/>
    </row>
    <row r="25" spans="1:6" s="14" customFormat="1" x14ac:dyDescent="0.5">
      <c r="A25" s="55" t="s">
        <v>12</v>
      </c>
      <c r="B25" s="52" t="s">
        <v>62</v>
      </c>
      <c r="C25" s="137"/>
      <c r="D25" s="138"/>
      <c r="E25" s="137"/>
      <c r="F25" s="139"/>
    </row>
    <row r="26" spans="1:6" s="14" customFormat="1" x14ac:dyDescent="0.5">
      <c r="A26" s="55" t="s">
        <v>4</v>
      </c>
      <c r="B26" s="52" t="s">
        <v>63</v>
      </c>
      <c r="C26" s="137">
        <v>503972</v>
      </c>
      <c r="D26" s="138"/>
      <c r="E26" s="137"/>
      <c r="F26" s="139"/>
    </row>
    <row r="27" spans="1:6" x14ac:dyDescent="0.5">
      <c r="A27" s="55" t="s">
        <v>5</v>
      </c>
      <c r="B27" s="52" t="s">
        <v>63</v>
      </c>
      <c r="C27" s="137">
        <v>644390</v>
      </c>
      <c r="D27" s="138"/>
      <c r="E27" s="137"/>
      <c r="F27" s="139"/>
    </row>
    <row r="28" spans="1:6" x14ac:dyDescent="0.5">
      <c r="A28" s="55" t="s">
        <v>6</v>
      </c>
      <c r="B28" s="52" t="s">
        <v>64</v>
      </c>
      <c r="C28" s="137">
        <v>6000</v>
      </c>
      <c r="D28" s="138"/>
      <c r="E28" s="137"/>
      <c r="F28" s="139"/>
    </row>
    <row r="29" spans="1:6" x14ac:dyDescent="0.5">
      <c r="A29" s="55" t="s">
        <v>7</v>
      </c>
      <c r="B29" s="52" t="s">
        <v>65</v>
      </c>
      <c r="C29" s="137">
        <v>30300</v>
      </c>
      <c r="D29" s="138"/>
      <c r="E29" s="137"/>
      <c r="F29" s="139"/>
    </row>
    <row r="30" spans="1:6" x14ac:dyDescent="0.5">
      <c r="A30" s="55" t="s">
        <v>8</v>
      </c>
      <c r="B30" s="52" t="s">
        <v>66</v>
      </c>
      <c r="C30" s="137">
        <v>20000</v>
      </c>
      <c r="D30" s="138"/>
      <c r="E30" s="137"/>
      <c r="F30" s="139"/>
    </row>
    <row r="31" spans="1:6" x14ac:dyDescent="0.5">
      <c r="A31" s="55" t="s">
        <v>9</v>
      </c>
      <c r="B31" s="52" t="s">
        <v>67</v>
      </c>
      <c r="C31" s="137"/>
      <c r="D31" s="138"/>
      <c r="E31" s="137"/>
      <c r="F31" s="139"/>
    </row>
    <row r="32" spans="1:6" x14ac:dyDescent="0.5">
      <c r="A32" s="55" t="s">
        <v>10</v>
      </c>
      <c r="B32" s="52" t="s">
        <v>69</v>
      </c>
      <c r="C32" s="137"/>
      <c r="D32" s="138"/>
      <c r="E32" s="137"/>
      <c r="F32" s="139"/>
    </row>
    <row r="33" spans="1:6" x14ac:dyDescent="0.5">
      <c r="A33" s="55" t="s">
        <v>11</v>
      </c>
      <c r="B33" s="52" t="s">
        <v>70</v>
      </c>
      <c r="C33" s="137"/>
      <c r="D33" s="138"/>
      <c r="E33" s="137"/>
      <c r="F33" s="139"/>
    </row>
    <row r="34" spans="1:6" x14ac:dyDescent="0.5">
      <c r="A34" s="55" t="s">
        <v>13</v>
      </c>
      <c r="B34" s="52" t="s">
        <v>68</v>
      </c>
      <c r="C34" s="152"/>
      <c r="D34" s="153"/>
      <c r="E34" s="137"/>
      <c r="F34" s="139"/>
    </row>
    <row r="35" spans="1:6" x14ac:dyDescent="0.5">
      <c r="A35" s="55" t="s">
        <v>14</v>
      </c>
      <c r="B35" s="52" t="s">
        <v>71</v>
      </c>
      <c r="C35" s="137"/>
      <c r="D35" s="138"/>
      <c r="E35" s="137">
        <f>2988100.83-200</f>
        <v>2987900.83</v>
      </c>
      <c r="F35" s="139"/>
    </row>
    <row r="36" spans="1:6" x14ac:dyDescent="0.5">
      <c r="A36" s="55" t="s">
        <v>46</v>
      </c>
      <c r="B36" s="52" t="s">
        <v>74</v>
      </c>
      <c r="C36" s="137"/>
      <c r="D36" s="138"/>
      <c r="E36" s="137">
        <f>'รายละเอียด(หมายเหตุ2)'!F21</f>
        <v>4410866.12</v>
      </c>
      <c r="F36" s="139"/>
    </row>
    <row r="37" spans="1:6" x14ac:dyDescent="0.5">
      <c r="A37" s="55" t="s">
        <v>114</v>
      </c>
      <c r="B37" s="52" t="s">
        <v>145</v>
      </c>
      <c r="C37" s="137"/>
      <c r="D37" s="138"/>
      <c r="E37" s="137">
        <f>1201877-107699</f>
        <v>1094178</v>
      </c>
      <c r="F37" s="139"/>
    </row>
    <row r="38" spans="1:6" x14ac:dyDescent="0.5">
      <c r="A38" s="49" t="s">
        <v>111</v>
      </c>
      <c r="B38" s="50" t="s">
        <v>75</v>
      </c>
      <c r="C38" s="142"/>
      <c r="D38" s="154"/>
      <c r="E38" s="142">
        <f>583099.95-508015</f>
        <v>75084.949999999953</v>
      </c>
      <c r="F38" s="143"/>
    </row>
    <row r="39" spans="1:6" x14ac:dyDescent="0.5">
      <c r="A39" s="49" t="s">
        <v>92</v>
      </c>
      <c r="B39" s="50" t="s">
        <v>93</v>
      </c>
      <c r="C39" s="142"/>
      <c r="D39" s="154"/>
      <c r="E39" s="142">
        <v>1200000</v>
      </c>
      <c r="F39" s="143"/>
    </row>
    <row r="40" spans="1:6" s="14" customFormat="1" x14ac:dyDescent="0.5">
      <c r="A40" s="55" t="s">
        <v>113</v>
      </c>
      <c r="B40" s="52" t="s">
        <v>128</v>
      </c>
      <c r="C40" s="137"/>
      <c r="D40" s="138"/>
      <c r="E40" s="137">
        <v>64468830.079999998</v>
      </c>
      <c r="F40" s="139"/>
    </row>
    <row r="41" spans="1:6" x14ac:dyDescent="0.5">
      <c r="A41" s="55" t="s">
        <v>15</v>
      </c>
      <c r="B41" s="52" t="s">
        <v>73</v>
      </c>
      <c r="C41" s="137"/>
      <c r="D41" s="138"/>
      <c r="E41" s="137">
        <f>42856833.59+3939.09</f>
        <v>42860772.680000007</v>
      </c>
      <c r="F41" s="139"/>
    </row>
    <row r="42" spans="1:6" x14ac:dyDescent="0.5">
      <c r="A42" s="55" t="s">
        <v>54</v>
      </c>
      <c r="B42" s="52" t="s">
        <v>72</v>
      </c>
      <c r="C42" s="137"/>
      <c r="D42" s="138"/>
      <c r="E42" s="137">
        <v>32433380.260000002</v>
      </c>
      <c r="F42" s="139"/>
    </row>
    <row r="43" spans="1:6" ht="24.75" thickBot="1" x14ac:dyDescent="0.55000000000000004">
      <c r="A43" s="56" t="s">
        <v>45</v>
      </c>
      <c r="B43" s="57"/>
      <c r="C43" s="130">
        <f>SUM(C6:C42)</f>
        <v>149531012.91999999</v>
      </c>
      <c r="D43" s="131"/>
      <c r="E43" s="130">
        <f>SUM(E6:E42)</f>
        <v>149531012.91999999</v>
      </c>
      <c r="F43" s="132"/>
    </row>
    <row r="44" spans="1:6" x14ac:dyDescent="0.5">
      <c r="A44" s="133"/>
      <c r="B44" s="133"/>
      <c r="C44" s="133"/>
      <c r="D44" s="53"/>
      <c r="E44" s="54"/>
      <c r="F44" s="54"/>
    </row>
    <row r="45" spans="1:6" ht="26.25" x14ac:dyDescent="0.55000000000000004">
      <c r="A45" s="61" t="s">
        <v>166</v>
      </c>
      <c r="B45" s="61"/>
      <c r="C45" s="134" t="s">
        <v>118</v>
      </c>
      <c r="D45" s="134"/>
      <c r="E45" s="134"/>
      <c r="F45" s="134"/>
    </row>
    <row r="46" spans="1:6" ht="26.25" x14ac:dyDescent="0.55000000000000004">
      <c r="A46" s="61" t="s">
        <v>167</v>
      </c>
      <c r="B46" s="61"/>
      <c r="C46" s="135" t="s">
        <v>196</v>
      </c>
      <c r="D46" s="135"/>
      <c r="E46" s="135"/>
      <c r="F46" s="135"/>
    </row>
    <row r="47" spans="1:6" s="58" customFormat="1" ht="26.25" x14ac:dyDescent="0.55000000000000004">
      <c r="A47" s="62" t="s">
        <v>148</v>
      </c>
      <c r="B47" s="63"/>
      <c r="C47" s="136" t="s">
        <v>197</v>
      </c>
      <c r="D47" s="136"/>
      <c r="E47" s="136"/>
      <c r="F47" s="136"/>
    </row>
    <row r="48" spans="1:6" s="58" customFormat="1" ht="26.25" x14ac:dyDescent="0.55000000000000004">
      <c r="A48" s="51"/>
      <c r="B48" s="51"/>
      <c r="C48" s="86" t="s">
        <v>198</v>
      </c>
      <c r="D48" s="86"/>
      <c r="E48" s="51"/>
      <c r="F48" s="51"/>
    </row>
    <row r="49" spans="1:6" x14ac:dyDescent="0.5">
      <c r="A49" s="144" t="s">
        <v>95</v>
      </c>
      <c r="B49" s="144"/>
      <c r="C49" s="144"/>
      <c r="D49" s="144"/>
      <c r="E49" s="144"/>
      <c r="F49" s="144"/>
    </row>
    <row r="50" spans="1:6" s="58" customFormat="1" ht="26.25" x14ac:dyDescent="0.55000000000000004">
      <c r="A50" s="144" t="s">
        <v>168</v>
      </c>
      <c r="B50" s="144"/>
      <c r="C50" s="144"/>
      <c r="D50" s="144"/>
      <c r="E50" s="144"/>
      <c r="F50" s="144"/>
    </row>
    <row r="51" spans="1:6" ht="24.75" thickBot="1" x14ac:dyDescent="0.55000000000000004">
      <c r="A51" s="145" t="s">
        <v>206</v>
      </c>
      <c r="B51" s="145"/>
      <c r="C51" s="145"/>
      <c r="D51" s="145"/>
      <c r="E51" s="145"/>
      <c r="F51" s="145"/>
    </row>
    <row r="52" spans="1:6" x14ac:dyDescent="0.5">
      <c r="A52" s="146" t="s">
        <v>76</v>
      </c>
      <c r="B52" s="148" t="s">
        <v>1</v>
      </c>
      <c r="C52" s="148" t="s">
        <v>2</v>
      </c>
      <c r="D52" s="148"/>
      <c r="E52" s="148" t="s">
        <v>3</v>
      </c>
      <c r="F52" s="150"/>
    </row>
    <row r="53" spans="1:6" ht="24.75" thickBot="1" x14ac:dyDescent="0.55000000000000004">
      <c r="A53" s="147"/>
      <c r="B53" s="149"/>
      <c r="C53" s="149"/>
      <c r="D53" s="149"/>
      <c r="E53" s="149"/>
      <c r="F53" s="151"/>
    </row>
    <row r="54" spans="1:6" ht="24.75" thickTop="1" x14ac:dyDescent="0.5">
      <c r="A54" s="55" t="s">
        <v>59</v>
      </c>
      <c r="B54" s="52"/>
      <c r="C54" s="137"/>
      <c r="D54" s="138"/>
      <c r="E54" s="137"/>
      <c r="F54" s="139"/>
    </row>
    <row r="55" spans="1:6" x14ac:dyDescent="0.5">
      <c r="A55" s="55" t="s">
        <v>107</v>
      </c>
      <c r="B55" s="52" t="s">
        <v>88</v>
      </c>
      <c r="C55" s="137">
        <f>C7-3214217.21+5787724.55+420812</f>
        <v>9821274.7199999988</v>
      </c>
      <c r="D55" s="138"/>
      <c r="E55" s="137"/>
      <c r="F55" s="139"/>
    </row>
    <row r="56" spans="1:6" x14ac:dyDescent="0.5">
      <c r="A56" s="55" t="s">
        <v>119</v>
      </c>
      <c r="B56" s="52" t="s">
        <v>91</v>
      </c>
      <c r="C56" s="137">
        <f>C8+16062716.12-1589112.89-5787724.55-792980-420812-2000999.57-7060200</f>
        <v>0</v>
      </c>
      <c r="D56" s="138"/>
      <c r="E56" s="137"/>
      <c r="F56" s="139"/>
    </row>
    <row r="57" spans="1:6" x14ac:dyDescent="0.5">
      <c r="A57" s="55" t="s">
        <v>164</v>
      </c>
      <c r="B57" s="52" t="s">
        <v>88</v>
      </c>
      <c r="C57" s="137">
        <f>C9+16916</f>
        <v>5147581.83</v>
      </c>
      <c r="D57" s="138"/>
      <c r="E57" s="137"/>
      <c r="F57" s="139"/>
    </row>
    <row r="58" spans="1:6" x14ac:dyDescent="0.5">
      <c r="A58" s="55" t="s">
        <v>165</v>
      </c>
      <c r="B58" s="52" t="s">
        <v>91</v>
      </c>
      <c r="C58" s="137">
        <f t="shared" ref="C58:C72" si="0">C10</f>
        <v>0</v>
      </c>
      <c r="D58" s="138"/>
      <c r="E58" s="137"/>
      <c r="F58" s="139"/>
    </row>
    <row r="59" spans="1:6" x14ac:dyDescent="0.5">
      <c r="A59" s="55" t="s">
        <v>108</v>
      </c>
      <c r="B59" s="52" t="s">
        <v>88</v>
      </c>
      <c r="C59" s="137">
        <f>C11+98577-3055051.81+1589112.89+792980+2000999.57+7060200</f>
        <v>34047378.150000006</v>
      </c>
      <c r="D59" s="138"/>
      <c r="E59" s="137"/>
      <c r="F59" s="139"/>
    </row>
    <row r="60" spans="1:6" x14ac:dyDescent="0.5">
      <c r="A60" s="55" t="s">
        <v>109</v>
      </c>
      <c r="B60" s="52" t="s">
        <v>88</v>
      </c>
      <c r="C60" s="137">
        <f t="shared" si="0"/>
        <v>2184388.52</v>
      </c>
      <c r="D60" s="138"/>
      <c r="E60" s="137"/>
      <c r="F60" s="139"/>
    </row>
    <row r="61" spans="1:6" x14ac:dyDescent="0.5">
      <c r="A61" s="55" t="s">
        <v>182</v>
      </c>
      <c r="B61" s="52" t="s">
        <v>88</v>
      </c>
      <c r="C61" s="137">
        <f t="shared" si="0"/>
        <v>1712961.47</v>
      </c>
      <c r="D61" s="138"/>
      <c r="E61" s="137"/>
      <c r="F61" s="139"/>
    </row>
    <row r="62" spans="1:6" x14ac:dyDescent="0.5">
      <c r="A62" s="55" t="s">
        <v>110</v>
      </c>
      <c r="B62" s="52" t="s">
        <v>89</v>
      </c>
      <c r="C62" s="137">
        <f t="shared" si="0"/>
        <v>5172356.18</v>
      </c>
      <c r="D62" s="138"/>
      <c r="E62" s="137"/>
      <c r="F62" s="139"/>
    </row>
    <row r="63" spans="1:6" x14ac:dyDescent="0.5">
      <c r="A63" s="55" t="s">
        <v>154</v>
      </c>
      <c r="B63" s="52" t="s">
        <v>89</v>
      </c>
      <c r="C63" s="137">
        <f t="shared" si="0"/>
        <v>5082235.13</v>
      </c>
      <c r="D63" s="138"/>
      <c r="E63" s="137"/>
      <c r="F63" s="139"/>
    </row>
    <row r="64" spans="1:6" x14ac:dyDescent="0.5">
      <c r="A64" s="49" t="s">
        <v>115</v>
      </c>
      <c r="B64" s="50" t="s">
        <v>140</v>
      </c>
      <c r="C64" s="137">
        <f>C16-320000</f>
        <v>386940</v>
      </c>
      <c r="D64" s="138"/>
      <c r="E64" s="142"/>
      <c r="F64" s="143"/>
    </row>
    <row r="65" spans="1:6" x14ac:dyDescent="0.5">
      <c r="A65" s="55" t="s">
        <v>112</v>
      </c>
      <c r="B65" s="52" t="s">
        <v>126</v>
      </c>
      <c r="C65" s="137">
        <f>C17+1457678.55</f>
        <v>11887914.48</v>
      </c>
      <c r="D65" s="138"/>
      <c r="E65" s="137"/>
      <c r="F65" s="139"/>
    </row>
    <row r="66" spans="1:6" x14ac:dyDescent="0.5">
      <c r="A66" s="55" t="s">
        <v>116</v>
      </c>
      <c r="B66" s="52" t="s">
        <v>127</v>
      </c>
      <c r="C66" s="137">
        <f t="shared" si="0"/>
        <v>81353788.239999995</v>
      </c>
      <c r="D66" s="138"/>
      <c r="E66" s="137"/>
      <c r="F66" s="139"/>
    </row>
    <row r="67" spans="1:6" x14ac:dyDescent="0.5">
      <c r="A67" s="55" t="s">
        <v>129</v>
      </c>
      <c r="B67" s="52" t="s">
        <v>61</v>
      </c>
      <c r="C67" s="137">
        <f>C19+11194-42000</f>
        <v>29754</v>
      </c>
      <c r="D67" s="138"/>
      <c r="E67" s="137"/>
      <c r="F67" s="139"/>
    </row>
    <row r="68" spans="1:6" x14ac:dyDescent="0.5">
      <c r="A68" s="55" t="s">
        <v>130</v>
      </c>
      <c r="B68" s="52" t="s">
        <v>141</v>
      </c>
      <c r="C68" s="137">
        <f t="shared" si="0"/>
        <v>256900</v>
      </c>
      <c r="D68" s="138"/>
      <c r="E68" s="137"/>
      <c r="F68" s="139"/>
    </row>
    <row r="69" spans="1:6" x14ac:dyDescent="0.5">
      <c r="A69" s="55" t="s">
        <v>56</v>
      </c>
      <c r="B69" s="52" t="s">
        <v>60</v>
      </c>
      <c r="C69" s="137">
        <f>C21-1400+1603290</f>
        <v>3243720</v>
      </c>
      <c r="D69" s="138"/>
      <c r="E69" s="137"/>
      <c r="F69" s="139"/>
    </row>
    <row r="70" spans="1:6" x14ac:dyDescent="0.5">
      <c r="A70" s="55" t="s">
        <v>131</v>
      </c>
      <c r="B70" s="52" t="s">
        <v>142</v>
      </c>
      <c r="C70" s="137">
        <f t="shared" si="0"/>
        <v>449207</v>
      </c>
      <c r="D70" s="138"/>
      <c r="E70" s="137"/>
      <c r="F70" s="139"/>
    </row>
    <row r="71" spans="1:6" x14ac:dyDescent="0.5">
      <c r="A71" s="55" t="s">
        <v>132</v>
      </c>
      <c r="B71" s="52" t="s">
        <v>143</v>
      </c>
      <c r="C71" s="137">
        <f t="shared" si="0"/>
        <v>10357.85</v>
      </c>
      <c r="D71" s="138"/>
      <c r="E71" s="137"/>
      <c r="F71" s="139"/>
    </row>
    <row r="72" spans="1:6" x14ac:dyDescent="0.5">
      <c r="A72" s="55" t="s">
        <v>133</v>
      </c>
      <c r="B72" s="52" t="s">
        <v>144</v>
      </c>
      <c r="C72" s="137">
        <f t="shared" si="0"/>
        <v>157296</v>
      </c>
      <c r="D72" s="138"/>
      <c r="E72" s="137"/>
      <c r="F72" s="139"/>
    </row>
    <row r="73" spans="1:6" x14ac:dyDescent="0.5">
      <c r="A73" s="55" t="s">
        <v>12</v>
      </c>
      <c r="B73" s="52" t="s">
        <v>62</v>
      </c>
      <c r="C73" s="137">
        <v>52992</v>
      </c>
      <c r="D73" s="138"/>
      <c r="E73" s="137"/>
      <c r="F73" s="139"/>
    </row>
    <row r="74" spans="1:6" x14ac:dyDescent="0.5">
      <c r="A74" s="55" t="s">
        <v>4</v>
      </c>
      <c r="B74" s="52" t="s">
        <v>63</v>
      </c>
      <c r="C74" s="137">
        <f>503972+474730</f>
        <v>978702</v>
      </c>
      <c r="D74" s="138"/>
      <c r="E74" s="137"/>
      <c r="F74" s="139"/>
    </row>
    <row r="75" spans="1:6" x14ac:dyDescent="0.5">
      <c r="A75" s="55" t="s">
        <v>5</v>
      </c>
      <c r="B75" s="52" t="s">
        <v>63</v>
      </c>
      <c r="C75" s="137">
        <f>644390+620390</f>
        <v>1264780</v>
      </c>
      <c r="D75" s="138"/>
      <c r="E75" s="137"/>
      <c r="F75" s="139"/>
    </row>
    <row r="76" spans="1:6" x14ac:dyDescent="0.5">
      <c r="A76" s="55" t="s">
        <v>6</v>
      </c>
      <c r="B76" s="52" t="s">
        <v>64</v>
      </c>
      <c r="C76" s="137">
        <f>6000+16586</f>
        <v>22586</v>
      </c>
      <c r="D76" s="138"/>
      <c r="E76" s="137"/>
      <c r="F76" s="139"/>
    </row>
    <row r="77" spans="1:6" x14ac:dyDescent="0.5">
      <c r="A77" s="55" t="s">
        <v>7</v>
      </c>
      <c r="B77" s="52" t="s">
        <v>65</v>
      </c>
      <c r="C77" s="137">
        <f>30300+876771+42000</f>
        <v>949071</v>
      </c>
      <c r="D77" s="138"/>
      <c r="E77" s="137"/>
      <c r="F77" s="139"/>
    </row>
    <row r="78" spans="1:6" x14ac:dyDescent="0.5">
      <c r="A78" s="55" t="s">
        <v>179</v>
      </c>
      <c r="B78" s="52" t="s">
        <v>180</v>
      </c>
      <c r="C78" s="137">
        <v>489780</v>
      </c>
      <c r="D78" s="138"/>
      <c r="E78" s="137"/>
      <c r="F78" s="139"/>
    </row>
    <row r="79" spans="1:6" x14ac:dyDescent="0.5">
      <c r="A79" s="55" t="s">
        <v>8</v>
      </c>
      <c r="B79" s="52" t="s">
        <v>66</v>
      </c>
      <c r="C79" s="137">
        <f>20000+153934.66</f>
        <v>173934.66</v>
      </c>
      <c r="D79" s="138"/>
      <c r="E79" s="137"/>
      <c r="F79" s="139"/>
    </row>
    <row r="80" spans="1:6" x14ac:dyDescent="0.5">
      <c r="A80" s="55" t="s">
        <v>9</v>
      </c>
      <c r="B80" s="52" t="s">
        <v>67</v>
      </c>
      <c r="C80" s="137">
        <f>140267.94+0.58</f>
        <v>140268.51999999999</v>
      </c>
      <c r="D80" s="138"/>
      <c r="E80" s="137"/>
      <c r="F80" s="139"/>
    </row>
    <row r="81" spans="1:6" x14ac:dyDescent="0.5">
      <c r="A81" s="55" t="s">
        <v>10</v>
      </c>
      <c r="B81" s="52" t="s">
        <v>69</v>
      </c>
      <c r="C81" s="137"/>
      <c r="D81" s="138"/>
      <c r="E81" s="137"/>
      <c r="F81" s="139"/>
    </row>
    <row r="82" spans="1:6" x14ac:dyDescent="0.5">
      <c r="A82" s="55" t="s">
        <v>11</v>
      </c>
      <c r="B82" s="52" t="s">
        <v>70</v>
      </c>
      <c r="C82" s="137"/>
      <c r="D82" s="138"/>
      <c r="E82" s="137"/>
      <c r="F82" s="139"/>
    </row>
    <row r="83" spans="1:6" x14ac:dyDescent="0.5">
      <c r="A83" s="55" t="s">
        <v>13</v>
      </c>
      <c r="B83" s="52" t="s">
        <v>68</v>
      </c>
      <c r="C83" s="152"/>
      <c r="D83" s="153"/>
      <c r="E83" s="137"/>
      <c r="F83" s="139"/>
    </row>
    <row r="84" spans="1:6" x14ac:dyDescent="0.5">
      <c r="A84" s="55" t="s">
        <v>14</v>
      </c>
      <c r="B84" s="52" t="s">
        <v>71</v>
      </c>
      <c r="C84" s="137"/>
      <c r="D84" s="138"/>
      <c r="E84" s="137">
        <f>E35+8321529.12+7060200+489780</f>
        <v>18859409.949999999</v>
      </c>
      <c r="F84" s="139"/>
    </row>
    <row r="85" spans="1:6" x14ac:dyDescent="0.5">
      <c r="A85" s="55" t="s">
        <v>46</v>
      </c>
      <c r="B85" s="52" t="s">
        <v>74</v>
      </c>
      <c r="C85" s="137"/>
      <c r="D85" s="138"/>
      <c r="E85" s="137">
        <f>'รายละเอียด(หมายเหตุ2)'!F55</f>
        <v>4417310.83</v>
      </c>
      <c r="F85" s="139"/>
    </row>
    <row r="86" spans="1:6" x14ac:dyDescent="0.5">
      <c r="A86" s="55" t="s">
        <v>114</v>
      </c>
      <c r="B86" s="52" t="s">
        <v>145</v>
      </c>
      <c r="C86" s="137"/>
      <c r="D86" s="138"/>
      <c r="E86" s="137">
        <f>E37-320000</f>
        <v>774178</v>
      </c>
      <c r="F86" s="139"/>
    </row>
    <row r="87" spans="1:6" x14ac:dyDescent="0.5">
      <c r="A87" s="55" t="s">
        <v>204</v>
      </c>
      <c r="B87" s="52"/>
      <c r="C87" s="137"/>
      <c r="D87" s="138"/>
      <c r="E87" s="137">
        <v>2100</v>
      </c>
      <c r="F87" s="139"/>
    </row>
    <row r="88" spans="1:6" x14ac:dyDescent="0.5">
      <c r="A88" s="49" t="s">
        <v>111</v>
      </c>
      <c r="B88" s="50" t="s">
        <v>75</v>
      </c>
      <c r="C88" s="142"/>
      <c r="D88" s="154"/>
      <c r="E88" s="137">
        <f>E38-74899</f>
        <v>185.94999999995343</v>
      </c>
      <c r="F88" s="139"/>
    </row>
    <row r="89" spans="1:6" x14ac:dyDescent="0.5">
      <c r="A89" s="49" t="s">
        <v>92</v>
      </c>
      <c r="B89" s="50" t="s">
        <v>93</v>
      </c>
      <c r="C89" s="142"/>
      <c r="D89" s="154"/>
      <c r="E89" s="137">
        <f>E39</f>
        <v>1200000</v>
      </c>
      <c r="F89" s="139"/>
    </row>
    <row r="90" spans="1:6" x14ac:dyDescent="0.5">
      <c r="A90" s="55" t="s">
        <v>113</v>
      </c>
      <c r="B90" s="52" t="s">
        <v>128</v>
      </c>
      <c r="C90" s="137"/>
      <c r="D90" s="138"/>
      <c r="E90" s="137">
        <f>E40</f>
        <v>64468830.079999998</v>
      </c>
      <c r="F90" s="139"/>
    </row>
    <row r="91" spans="1:6" x14ac:dyDescent="0.5">
      <c r="A91" s="55" t="s">
        <v>15</v>
      </c>
      <c r="B91" s="52" t="s">
        <v>73</v>
      </c>
      <c r="C91" s="137"/>
      <c r="D91" s="138"/>
      <c r="E91" s="137">
        <f>E41</f>
        <v>42860772.680000007</v>
      </c>
      <c r="F91" s="139"/>
    </row>
    <row r="92" spans="1:6" x14ac:dyDescent="0.5">
      <c r="A92" s="55" t="s">
        <v>54</v>
      </c>
      <c r="B92" s="52" t="s">
        <v>72</v>
      </c>
      <c r="C92" s="137"/>
      <c r="D92" s="138"/>
      <c r="E92" s="137">
        <f>E42</f>
        <v>32433380.260000002</v>
      </c>
      <c r="F92" s="139"/>
    </row>
    <row r="93" spans="1:6" ht="24.75" thickBot="1" x14ac:dyDescent="0.55000000000000004">
      <c r="A93" s="56" t="s">
        <v>45</v>
      </c>
      <c r="B93" s="57"/>
      <c r="C93" s="130">
        <f>SUM(C54:C92)</f>
        <v>165016167.75</v>
      </c>
      <c r="D93" s="131"/>
      <c r="E93" s="130">
        <f>SUM(E54:E92)</f>
        <v>165016167.75</v>
      </c>
      <c r="F93" s="132"/>
    </row>
    <row r="94" spans="1:6" x14ac:dyDescent="0.5">
      <c r="A94" s="133"/>
      <c r="B94" s="133"/>
      <c r="C94" s="133"/>
      <c r="D94" s="53"/>
      <c r="E94" s="54"/>
      <c r="F94" s="54"/>
    </row>
    <row r="95" spans="1:6" ht="26.25" x14ac:dyDescent="0.55000000000000004">
      <c r="A95" s="61" t="s">
        <v>166</v>
      </c>
      <c r="B95" s="61"/>
      <c r="C95" s="134" t="s">
        <v>118</v>
      </c>
      <c r="D95" s="134"/>
      <c r="E95" s="134"/>
      <c r="F95" s="134"/>
    </row>
    <row r="96" spans="1:6" ht="26.25" x14ac:dyDescent="0.55000000000000004">
      <c r="A96" s="61" t="s">
        <v>167</v>
      </c>
      <c r="B96" s="61"/>
      <c r="C96" s="135" t="s">
        <v>171</v>
      </c>
      <c r="D96" s="135"/>
      <c r="E96" s="135"/>
      <c r="F96" s="135"/>
    </row>
    <row r="97" spans="1:6" ht="26.25" x14ac:dyDescent="0.55000000000000004">
      <c r="A97" s="62" t="s">
        <v>148</v>
      </c>
      <c r="B97" s="63"/>
      <c r="C97" s="136" t="s">
        <v>207</v>
      </c>
      <c r="D97" s="136"/>
      <c r="E97" s="136"/>
      <c r="F97" s="136"/>
    </row>
    <row r="98" spans="1:6" ht="26.25" x14ac:dyDescent="0.55000000000000004">
      <c r="A98" s="62"/>
      <c r="B98" s="63"/>
      <c r="C98" s="95"/>
      <c r="D98" s="95"/>
      <c r="E98" s="95"/>
      <c r="F98" s="95"/>
    </row>
    <row r="99" spans="1:6" x14ac:dyDescent="0.5">
      <c r="A99" s="144" t="s">
        <v>95</v>
      </c>
      <c r="B99" s="144"/>
      <c r="C99" s="144"/>
      <c r="D99" s="144"/>
      <c r="E99" s="144"/>
      <c r="F99" s="144"/>
    </row>
    <row r="100" spans="1:6" x14ac:dyDescent="0.5">
      <c r="A100" s="144" t="s">
        <v>168</v>
      </c>
      <c r="B100" s="144"/>
      <c r="C100" s="144"/>
      <c r="D100" s="144"/>
      <c r="E100" s="144"/>
      <c r="F100" s="144"/>
    </row>
    <row r="101" spans="1:6" ht="24.75" thickBot="1" x14ac:dyDescent="0.55000000000000004">
      <c r="A101" s="145" t="s">
        <v>210</v>
      </c>
      <c r="B101" s="145"/>
      <c r="C101" s="145"/>
      <c r="D101" s="145"/>
      <c r="E101" s="145"/>
      <c r="F101" s="145"/>
    </row>
    <row r="102" spans="1:6" x14ac:dyDescent="0.5">
      <c r="A102" s="146" t="s">
        <v>76</v>
      </c>
      <c r="B102" s="148" t="s">
        <v>1</v>
      </c>
      <c r="C102" s="148" t="s">
        <v>2</v>
      </c>
      <c r="D102" s="148"/>
      <c r="E102" s="148" t="s">
        <v>3</v>
      </c>
      <c r="F102" s="150"/>
    </row>
    <row r="103" spans="1:6" ht="24.75" thickBot="1" x14ac:dyDescent="0.55000000000000004">
      <c r="A103" s="147"/>
      <c r="B103" s="149"/>
      <c r="C103" s="149"/>
      <c r="D103" s="149"/>
      <c r="E103" s="149"/>
      <c r="F103" s="151"/>
    </row>
    <row r="104" spans="1:6" ht="24.75" thickTop="1" x14ac:dyDescent="0.5">
      <c r="A104" s="55" t="s">
        <v>59</v>
      </c>
      <c r="B104" s="52"/>
      <c r="C104" s="137"/>
      <c r="D104" s="138"/>
      <c r="E104" s="137"/>
      <c r="F104" s="139"/>
    </row>
    <row r="105" spans="1:6" x14ac:dyDescent="0.5">
      <c r="A105" s="55" t="s">
        <v>107</v>
      </c>
      <c r="B105" s="52" t="s">
        <v>88</v>
      </c>
      <c r="C105" s="137">
        <f>C55-4119489.68</f>
        <v>5701785.0399999991</v>
      </c>
      <c r="D105" s="138"/>
      <c r="E105" s="137"/>
      <c r="F105" s="139"/>
    </row>
    <row r="106" spans="1:6" x14ac:dyDescent="0.5">
      <c r="A106" s="55" t="s">
        <v>119</v>
      </c>
      <c r="B106" s="52" t="s">
        <v>91</v>
      </c>
      <c r="C106" s="137">
        <f>30644103.83-574194.84-29919368.99</f>
        <v>150540</v>
      </c>
      <c r="D106" s="138"/>
      <c r="E106" s="137"/>
      <c r="F106" s="139"/>
    </row>
    <row r="107" spans="1:6" x14ac:dyDescent="0.5">
      <c r="A107" s="55" t="s">
        <v>164</v>
      </c>
      <c r="B107" s="52" t="s">
        <v>88</v>
      </c>
      <c r="C107" s="137">
        <f>C57+22332</f>
        <v>5169913.83</v>
      </c>
      <c r="D107" s="138"/>
      <c r="E107" s="137"/>
      <c r="F107" s="139"/>
    </row>
    <row r="108" spans="1:6" x14ac:dyDescent="0.5">
      <c r="A108" s="55" t="s">
        <v>165</v>
      </c>
      <c r="B108" s="52" t="s">
        <v>91</v>
      </c>
      <c r="C108" s="137">
        <f t="shared" ref="C108:C121" si="1">C58</f>
        <v>0</v>
      </c>
      <c r="D108" s="138"/>
      <c r="E108" s="137"/>
      <c r="F108" s="139"/>
    </row>
    <row r="109" spans="1:6" x14ac:dyDescent="0.5">
      <c r="A109" s="55" t="s">
        <v>108</v>
      </c>
      <c r="B109" s="52" t="s">
        <v>88</v>
      </c>
      <c r="C109" s="137">
        <f>C59-3532981.92+162664.7+5800+1200+1500+500+574194.84</f>
        <v>31260255.770000003</v>
      </c>
      <c r="D109" s="138"/>
      <c r="E109" s="137"/>
      <c r="F109" s="139"/>
    </row>
    <row r="110" spans="1:6" x14ac:dyDescent="0.5">
      <c r="A110" s="55" t="s">
        <v>109</v>
      </c>
      <c r="B110" s="52" t="s">
        <v>88</v>
      </c>
      <c r="C110" s="137">
        <f>C60+1158885</f>
        <v>3343273.52</v>
      </c>
      <c r="D110" s="138"/>
      <c r="E110" s="137"/>
      <c r="F110" s="139"/>
    </row>
    <row r="111" spans="1:6" x14ac:dyDescent="0.5">
      <c r="A111" s="55" t="s">
        <v>182</v>
      </c>
      <c r="B111" s="52" t="s">
        <v>88</v>
      </c>
      <c r="C111" s="137">
        <f t="shared" si="1"/>
        <v>1712961.47</v>
      </c>
      <c r="D111" s="138"/>
      <c r="E111" s="137"/>
      <c r="F111" s="139"/>
    </row>
    <row r="112" spans="1:6" x14ac:dyDescent="0.5">
      <c r="A112" s="55" t="s">
        <v>110</v>
      </c>
      <c r="B112" s="52" t="s">
        <v>89</v>
      </c>
      <c r="C112" s="137">
        <f>C62+29919368.99+59884.84</f>
        <v>35151610.010000005</v>
      </c>
      <c r="D112" s="138"/>
      <c r="E112" s="137"/>
      <c r="F112" s="139"/>
    </row>
    <row r="113" spans="1:6" x14ac:dyDescent="0.5">
      <c r="A113" s="55" t="s">
        <v>154</v>
      </c>
      <c r="B113" s="52" t="s">
        <v>89</v>
      </c>
      <c r="C113" s="137">
        <f>C63</f>
        <v>5082235.13</v>
      </c>
      <c r="D113" s="138"/>
      <c r="E113" s="137"/>
      <c r="F113" s="139"/>
    </row>
    <row r="114" spans="1:6" x14ac:dyDescent="0.5">
      <c r="A114" s="49" t="s">
        <v>115</v>
      </c>
      <c r="B114" s="50" t="s">
        <v>140</v>
      </c>
      <c r="C114" s="137">
        <f>C64-141440</f>
        <v>245500</v>
      </c>
      <c r="D114" s="138"/>
      <c r="E114" s="142"/>
      <c r="F114" s="143"/>
    </row>
    <row r="115" spans="1:6" x14ac:dyDescent="0.5">
      <c r="A115" s="55" t="s">
        <v>112</v>
      </c>
      <c r="B115" s="52" t="s">
        <v>126</v>
      </c>
      <c r="C115" s="137">
        <f t="shared" si="1"/>
        <v>11887914.48</v>
      </c>
      <c r="D115" s="138"/>
      <c r="E115" s="137"/>
      <c r="F115" s="139"/>
    </row>
    <row r="116" spans="1:6" x14ac:dyDescent="0.5">
      <c r="A116" s="55" t="s">
        <v>116</v>
      </c>
      <c r="B116" s="52" t="s">
        <v>127</v>
      </c>
      <c r="C116" s="137">
        <f t="shared" si="1"/>
        <v>81353788.239999995</v>
      </c>
      <c r="D116" s="138"/>
      <c r="E116" s="137"/>
      <c r="F116" s="139"/>
    </row>
    <row r="117" spans="1:6" x14ac:dyDescent="0.5">
      <c r="A117" s="55" t="s">
        <v>129</v>
      </c>
      <c r="B117" s="52" t="s">
        <v>61</v>
      </c>
      <c r="C117" s="137">
        <f>C67+79768-3772-3772-3650-10812</f>
        <v>87516</v>
      </c>
      <c r="D117" s="138"/>
      <c r="E117" s="137"/>
      <c r="F117" s="139"/>
    </row>
    <row r="118" spans="1:6" x14ac:dyDescent="0.5">
      <c r="A118" s="55" t="s">
        <v>130</v>
      </c>
      <c r="B118" s="52" t="s">
        <v>141</v>
      </c>
      <c r="C118" s="137">
        <f t="shared" si="1"/>
        <v>256900</v>
      </c>
      <c r="D118" s="138"/>
      <c r="E118" s="137"/>
      <c r="F118" s="139"/>
    </row>
    <row r="119" spans="1:6" x14ac:dyDescent="0.5">
      <c r="A119" s="55" t="s">
        <v>56</v>
      </c>
      <c r="B119" s="52" t="s">
        <v>60</v>
      </c>
      <c r="C119" s="137">
        <f>C69+476720-761290-16800-20110-300-6210-13100-19500-16800-6890-1131600-151500-1127700-151500-2000-3200-150000</f>
        <v>141940</v>
      </c>
      <c r="D119" s="138"/>
      <c r="E119" s="137"/>
      <c r="F119" s="139"/>
    </row>
    <row r="120" spans="1:6" x14ac:dyDescent="0.5">
      <c r="A120" s="55" t="s">
        <v>131</v>
      </c>
      <c r="B120" s="52" t="s">
        <v>142</v>
      </c>
      <c r="C120" s="137">
        <f>C70-61520</f>
        <v>387687</v>
      </c>
      <c r="D120" s="138"/>
      <c r="E120" s="137"/>
      <c r="F120" s="139"/>
    </row>
    <row r="121" spans="1:6" x14ac:dyDescent="0.5">
      <c r="A121" s="55" t="s">
        <v>132</v>
      </c>
      <c r="B121" s="52" t="s">
        <v>143</v>
      </c>
      <c r="C121" s="137">
        <f t="shared" si="1"/>
        <v>10357.85</v>
      </c>
      <c r="D121" s="138"/>
      <c r="E121" s="137"/>
      <c r="F121" s="139"/>
    </row>
    <row r="122" spans="1:6" x14ac:dyDescent="0.5">
      <c r="A122" s="55" t="s">
        <v>133</v>
      </c>
      <c r="B122" s="52" t="s">
        <v>144</v>
      </c>
      <c r="C122" s="137">
        <f>C72-600</f>
        <v>156696</v>
      </c>
      <c r="D122" s="138"/>
      <c r="E122" s="137"/>
      <c r="F122" s="139"/>
    </row>
    <row r="123" spans="1:6" x14ac:dyDescent="0.5">
      <c r="A123" s="55" t="s">
        <v>12</v>
      </c>
      <c r="B123" s="52" t="s">
        <v>62</v>
      </c>
      <c r="C123" s="137">
        <f>C73+1240272+19500</f>
        <v>1312764</v>
      </c>
      <c r="D123" s="138"/>
      <c r="E123" s="137"/>
      <c r="F123" s="139"/>
    </row>
    <row r="124" spans="1:6" x14ac:dyDescent="0.5">
      <c r="A124" s="55" t="s">
        <v>174</v>
      </c>
      <c r="B124" s="52" t="s">
        <v>175</v>
      </c>
      <c r="C124" s="137">
        <f>1121700+1125800+150000+1126500+2000+3200+150000+151000</f>
        <v>3830200</v>
      </c>
      <c r="D124" s="138"/>
      <c r="E124" s="137"/>
      <c r="F124" s="139"/>
    </row>
    <row r="125" spans="1:6" x14ac:dyDescent="0.5">
      <c r="A125" s="55" t="s">
        <v>4</v>
      </c>
      <c r="B125" s="52" t="s">
        <v>63</v>
      </c>
      <c r="C125" s="137">
        <f>C74+984911+16800+761290+16800+300+6210+13100</f>
        <v>2778113</v>
      </c>
      <c r="D125" s="138"/>
      <c r="E125" s="137"/>
      <c r="F125" s="139"/>
    </row>
    <row r="126" spans="1:6" x14ac:dyDescent="0.5">
      <c r="A126" s="55" t="s">
        <v>5</v>
      </c>
      <c r="B126" s="52" t="s">
        <v>63</v>
      </c>
      <c r="C126" s="137">
        <f>C75+620390+6890+20110</f>
        <v>1912170</v>
      </c>
      <c r="D126" s="138"/>
      <c r="E126" s="137"/>
      <c r="F126" s="139"/>
    </row>
    <row r="127" spans="1:6" x14ac:dyDescent="0.5">
      <c r="A127" s="55" t="s">
        <v>6</v>
      </c>
      <c r="B127" s="52" t="s">
        <v>64</v>
      </c>
      <c r="C127" s="137">
        <f>C76+17600</f>
        <v>40186</v>
      </c>
      <c r="D127" s="138"/>
      <c r="E127" s="137"/>
      <c r="F127" s="139"/>
    </row>
    <row r="128" spans="1:6" x14ac:dyDescent="0.5">
      <c r="A128" s="55" t="s">
        <v>7</v>
      </c>
      <c r="B128" s="52" t="s">
        <v>65</v>
      </c>
      <c r="C128" s="137">
        <f>C77+1792357+3772+3772+3650+10812</f>
        <v>2763434</v>
      </c>
      <c r="D128" s="138"/>
      <c r="E128" s="137"/>
      <c r="F128" s="139"/>
    </row>
    <row r="129" spans="1:6" x14ac:dyDescent="0.5">
      <c r="A129" s="55" t="s">
        <v>179</v>
      </c>
      <c r="B129" s="52" t="s">
        <v>180</v>
      </c>
      <c r="C129" s="137">
        <f>C78</f>
        <v>489780</v>
      </c>
      <c r="D129" s="138"/>
      <c r="E129" s="137"/>
      <c r="F129" s="139"/>
    </row>
    <row r="130" spans="1:6" x14ac:dyDescent="0.5">
      <c r="A130" s="55" t="s">
        <v>8</v>
      </c>
      <c r="B130" s="52" t="s">
        <v>66</v>
      </c>
      <c r="C130" s="137">
        <f>C79+425835</f>
        <v>599769.66</v>
      </c>
      <c r="D130" s="138"/>
      <c r="E130" s="137"/>
      <c r="F130" s="139"/>
    </row>
    <row r="131" spans="1:6" x14ac:dyDescent="0.5">
      <c r="A131" s="55" t="s">
        <v>9</v>
      </c>
      <c r="B131" s="52" t="s">
        <v>67</v>
      </c>
      <c r="C131" s="137">
        <f>C80+145990.76</f>
        <v>286259.28000000003</v>
      </c>
      <c r="D131" s="138"/>
      <c r="E131" s="137"/>
      <c r="F131" s="139"/>
    </row>
    <row r="132" spans="1:6" x14ac:dyDescent="0.5">
      <c r="A132" s="55" t="s">
        <v>10</v>
      </c>
      <c r="B132" s="52" t="s">
        <v>69</v>
      </c>
      <c r="C132" s="137">
        <v>99600</v>
      </c>
      <c r="D132" s="138"/>
      <c r="E132" s="137"/>
      <c r="F132" s="139"/>
    </row>
    <row r="133" spans="1:6" x14ac:dyDescent="0.5">
      <c r="A133" s="55" t="s">
        <v>11</v>
      </c>
      <c r="B133" s="52" t="s">
        <v>70</v>
      </c>
      <c r="C133" s="137">
        <f>C82</f>
        <v>0</v>
      </c>
      <c r="D133" s="138"/>
      <c r="E133" s="137"/>
      <c r="F133" s="139"/>
    </row>
    <row r="134" spans="1:6" x14ac:dyDescent="0.5">
      <c r="A134" s="55" t="s">
        <v>13</v>
      </c>
      <c r="B134" s="52" t="s">
        <v>68</v>
      </c>
      <c r="C134" s="137">
        <v>73000</v>
      </c>
      <c r="D134" s="138"/>
      <c r="E134" s="137"/>
      <c r="F134" s="139"/>
    </row>
    <row r="135" spans="1:6" x14ac:dyDescent="0.5">
      <c r="A135" s="55" t="s">
        <v>14</v>
      </c>
      <c r="B135" s="52" t="s">
        <v>71</v>
      </c>
      <c r="C135" s="137">
        <f t="shared" ref="C135:C143" si="2">C84</f>
        <v>0</v>
      </c>
      <c r="D135" s="138"/>
      <c r="E135" s="137">
        <f>E84+30101218.19+573000+3000</f>
        <v>49536628.140000001</v>
      </c>
      <c r="F135" s="139"/>
    </row>
    <row r="136" spans="1:6" x14ac:dyDescent="0.5">
      <c r="A136" s="55" t="s">
        <v>46</v>
      </c>
      <c r="B136" s="52" t="s">
        <v>74</v>
      </c>
      <c r="C136" s="137">
        <f t="shared" si="2"/>
        <v>0</v>
      </c>
      <c r="D136" s="138"/>
      <c r="E136" s="137">
        <f>'รายละเอียด(หมายเหตุ2)'!F92</f>
        <v>5502989.0099999998</v>
      </c>
      <c r="F136" s="139"/>
    </row>
    <row r="137" spans="1:6" x14ac:dyDescent="0.5">
      <c r="A137" s="55" t="s">
        <v>114</v>
      </c>
      <c r="B137" s="52" t="s">
        <v>145</v>
      </c>
      <c r="C137" s="137">
        <f t="shared" si="2"/>
        <v>0</v>
      </c>
      <c r="D137" s="138"/>
      <c r="E137" s="137">
        <f>E86</f>
        <v>774178</v>
      </c>
      <c r="F137" s="139"/>
    </row>
    <row r="138" spans="1:6" x14ac:dyDescent="0.5">
      <c r="A138" s="55" t="s">
        <v>204</v>
      </c>
      <c r="B138" s="52"/>
      <c r="C138" s="137">
        <f t="shared" si="2"/>
        <v>0</v>
      </c>
      <c r="D138" s="138"/>
      <c r="E138" s="137">
        <f>E87</f>
        <v>2100</v>
      </c>
      <c r="F138" s="139"/>
    </row>
    <row r="139" spans="1:6" x14ac:dyDescent="0.5">
      <c r="A139" s="49" t="s">
        <v>111</v>
      </c>
      <c r="B139" s="50" t="s">
        <v>75</v>
      </c>
      <c r="C139" s="137">
        <f t="shared" si="2"/>
        <v>0</v>
      </c>
      <c r="D139" s="138"/>
      <c r="E139" s="137">
        <f>E88</f>
        <v>185.94999999995343</v>
      </c>
      <c r="F139" s="139"/>
    </row>
    <row r="140" spans="1:6" x14ac:dyDescent="0.5">
      <c r="A140" s="49" t="s">
        <v>92</v>
      </c>
      <c r="B140" s="50" t="s">
        <v>93</v>
      </c>
      <c r="C140" s="137">
        <f t="shared" si="2"/>
        <v>0</v>
      </c>
      <c r="D140" s="138"/>
      <c r="E140" s="137">
        <f>E89</f>
        <v>1200000</v>
      </c>
      <c r="F140" s="139"/>
    </row>
    <row r="141" spans="1:6" x14ac:dyDescent="0.5">
      <c r="A141" s="55" t="s">
        <v>113</v>
      </c>
      <c r="B141" s="52" t="s">
        <v>128</v>
      </c>
      <c r="C141" s="137">
        <f t="shared" si="2"/>
        <v>0</v>
      </c>
      <c r="D141" s="138"/>
      <c r="E141" s="137">
        <f>E90</f>
        <v>64468830.079999998</v>
      </c>
      <c r="F141" s="139"/>
    </row>
    <row r="142" spans="1:6" x14ac:dyDescent="0.5">
      <c r="A142" s="55" t="s">
        <v>15</v>
      </c>
      <c r="B142" s="52" t="s">
        <v>73</v>
      </c>
      <c r="C142" s="137">
        <f t="shared" si="2"/>
        <v>0</v>
      </c>
      <c r="D142" s="138"/>
      <c r="E142" s="137">
        <f>E91+1194.84-494108.68</f>
        <v>42367858.840000011</v>
      </c>
      <c r="F142" s="139"/>
    </row>
    <row r="143" spans="1:6" x14ac:dyDescent="0.5">
      <c r="A143" s="55" t="s">
        <v>54</v>
      </c>
      <c r="B143" s="52" t="s">
        <v>72</v>
      </c>
      <c r="C143" s="137">
        <f t="shared" si="2"/>
        <v>0</v>
      </c>
      <c r="D143" s="138"/>
      <c r="E143" s="137">
        <f>E92</f>
        <v>32433380.260000002</v>
      </c>
      <c r="F143" s="139"/>
    </row>
    <row r="144" spans="1:6" ht="24.75" thickBot="1" x14ac:dyDescent="0.55000000000000004">
      <c r="A144" s="56" t="s">
        <v>45</v>
      </c>
      <c r="B144" s="57"/>
      <c r="C144" s="130">
        <f>SUM(C104:C143)</f>
        <v>196286150.28</v>
      </c>
      <c r="D144" s="131"/>
      <c r="E144" s="130">
        <f>SUM(E104:E143)</f>
        <v>196286150.28</v>
      </c>
      <c r="F144" s="132"/>
    </row>
    <row r="145" spans="1:6" x14ac:dyDescent="0.5">
      <c r="A145" s="133"/>
      <c r="B145" s="133"/>
      <c r="C145" s="133"/>
      <c r="D145" s="53"/>
      <c r="E145" s="54"/>
      <c r="F145" s="54"/>
    </row>
    <row r="146" spans="1:6" ht="26.25" x14ac:dyDescent="0.55000000000000004">
      <c r="A146" s="61" t="s">
        <v>166</v>
      </c>
      <c r="B146" s="61"/>
      <c r="C146" s="134" t="s">
        <v>118</v>
      </c>
      <c r="D146" s="134"/>
      <c r="E146" s="134"/>
      <c r="F146" s="134"/>
    </row>
    <row r="147" spans="1:6" ht="26.25" x14ac:dyDescent="0.55000000000000004">
      <c r="A147" s="61" t="s">
        <v>167</v>
      </c>
      <c r="B147" s="61"/>
      <c r="C147" s="135" t="s">
        <v>216</v>
      </c>
      <c r="D147" s="135"/>
      <c r="E147" s="135"/>
      <c r="F147" s="135"/>
    </row>
    <row r="148" spans="1:6" ht="26.25" x14ac:dyDescent="0.55000000000000004">
      <c r="A148" s="62" t="s">
        <v>148</v>
      </c>
      <c r="B148" s="63"/>
      <c r="C148" s="136" t="s">
        <v>207</v>
      </c>
      <c r="D148" s="136"/>
      <c r="E148" s="136"/>
      <c r="F148" s="136"/>
    </row>
    <row r="149" spans="1:6" x14ac:dyDescent="0.5">
      <c r="A149" s="144" t="s">
        <v>95</v>
      </c>
      <c r="B149" s="144"/>
      <c r="C149" s="144"/>
      <c r="D149" s="144"/>
      <c r="E149" s="144"/>
      <c r="F149" s="144"/>
    </row>
    <row r="150" spans="1:6" x14ac:dyDescent="0.5">
      <c r="A150" s="144" t="s">
        <v>168</v>
      </c>
      <c r="B150" s="144"/>
      <c r="C150" s="144"/>
      <c r="D150" s="144"/>
      <c r="E150" s="144"/>
      <c r="F150" s="144"/>
    </row>
    <row r="151" spans="1:6" ht="24.75" thickBot="1" x14ac:dyDescent="0.55000000000000004">
      <c r="A151" s="145" t="s">
        <v>222</v>
      </c>
      <c r="B151" s="145"/>
      <c r="C151" s="145"/>
      <c r="D151" s="145"/>
      <c r="E151" s="145"/>
      <c r="F151" s="145"/>
    </row>
    <row r="152" spans="1:6" x14ac:dyDescent="0.5">
      <c r="A152" s="146" t="s">
        <v>76</v>
      </c>
      <c r="B152" s="148" t="s">
        <v>1</v>
      </c>
      <c r="C152" s="148" t="s">
        <v>2</v>
      </c>
      <c r="D152" s="148"/>
      <c r="E152" s="148" t="s">
        <v>3</v>
      </c>
      <c r="F152" s="150"/>
    </row>
    <row r="153" spans="1:6" ht="24.75" thickBot="1" x14ac:dyDescent="0.55000000000000004">
      <c r="A153" s="147"/>
      <c r="B153" s="149"/>
      <c r="C153" s="149"/>
      <c r="D153" s="149"/>
      <c r="E153" s="149"/>
      <c r="F153" s="151"/>
    </row>
    <row r="154" spans="1:6" ht="24.75" thickTop="1" x14ac:dyDescent="0.5">
      <c r="A154" s="55" t="s">
        <v>59</v>
      </c>
      <c r="B154" s="52"/>
      <c r="C154" s="137"/>
      <c r="D154" s="138"/>
      <c r="E154" s="137"/>
      <c r="F154" s="139"/>
    </row>
    <row r="155" spans="1:6" x14ac:dyDescent="0.5">
      <c r="A155" s="55" t="s">
        <v>107</v>
      </c>
      <c r="B155" s="52" t="s">
        <v>88</v>
      </c>
      <c r="C155" s="137">
        <f>C105+55473.23-2072538+1576180.56+877443+755780</f>
        <v>6894123.8300000001</v>
      </c>
      <c r="D155" s="138"/>
      <c r="E155" s="137"/>
      <c r="F155" s="139"/>
    </row>
    <row r="156" spans="1:6" x14ac:dyDescent="0.5">
      <c r="A156" s="55" t="s">
        <v>119</v>
      </c>
      <c r="B156" s="52" t="s">
        <v>91</v>
      </c>
      <c r="C156" s="137">
        <f>C106+3103863.56-877443-1576180.56-755780</f>
        <v>45000</v>
      </c>
      <c r="D156" s="138"/>
      <c r="E156" s="137"/>
      <c r="F156" s="139"/>
    </row>
    <row r="157" spans="1:6" x14ac:dyDescent="0.5">
      <c r="A157" s="55" t="s">
        <v>164</v>
      </c>
      <c r="B157" s="52" t="s">
        <v>88</v>
      </c>
      <c r="C157" s="137">
        <f>C107+94905.21</f>
        <v>5264819.04</v>
      </c>
      <c r="D157" s="138"/>
      <c r="E157" s="137"/>
      <c r="F157" s="139"/>
    </row>
    <row r="158" spans="1:6" x14ac:dyDescent="0.5">
      <c r="A158" s="55" t="s">
        <v>165</v>
      </c>
      <c r="B158" s="52" t="s">
        <v>91</v>
      </c>
      <c r="C158" s="137">
        <f t="shared" ref="C158:C179" si="3">C108</f>
        <v>0</v>
      </c>
      <c r="D158" s="138"/>
      <c r="E158" s="137"/>
      <c r="F158" s="139"/>
    </row>
    <row r="159" spans="1:6" x14ac:dyDescent="0.5">
      <c r="A159" s="55" t="s">
        <v>108</v>
      </c>
      <c r="B159" s="52" t="s">
        <v>88</v>
      </c>
      <c r="C159" s="137">
        <f>C109+467997.11-10278845.34</f>
        <v>21449407.540000003</v>
      </c>
      <c r="D159" s="138"/>
      <c r="E159" s="137"/>
      <c r="F159" s="139"/>
    </row>
    <row r="160" spans="1:6" x14ac:dyDescent="0.5">
      <c r="A160" s="55" t="s">
        <v>109</v>
      </c>
      <c r="B160" s="52" t="s">
        <v>88</v>
      </c>
      <c r="C160" s="137">
        <f t="shared" si="3"/>
        <v>3343273.52</v>
      </c>
      <c r="D160" s="138"/>
      <c r="E160" s="137"/>
      <c r="F160" s="139"/>
    </row>
    <row r="161" spans="1:6" x14ac:dyDescent="0.5">
      <c r="A161" s="55" t="s">
        <v>182</v>
      </c>
      <c r="B161" s="52" t="s">
        <v>88</v>
      </c>
      <c r="C161" s="137">
        <f t="shared" si="3"/>
        <v>1712961.47</v>
      </c>
      <c r="D161" s="138"/>
      <c r="E161" s="137"/>
      <c r="F161" s="139"/>
    </row>
    <row r="162" spans="1:6" x14ac:dyDescent="0.5">
      <c r="A162" s="55" t="s">
        <v>110</v>
      </c>
      <c r="B162" s="52" t="s">
        <v>89</v>
      </c>
      <c r="C162" s="137">
        <f t="shared" si="3"/>
        <v>35151610.010000005</v>
      </c>
      <c r="D162" s="138"/>
      <c r="E162" s="137"/>
      <c r="F162" s="139"/>
    </row>
    <row r="163" spans="1:6" x14ac:dyDescent="0.5">
      <c r="A163" s="55" t="s">
        <v>154</v>
      </c>
      <c r="B163" s="52" t="s">
        <v>89</v>
      </c>
      <c r="C163" s="137">
        <f>C113+18830.73</f>
        <v>5101065.8600000003</v>
      </c>
      <c r="D163" s="138"/>
      <c r="E163" s="137"/>
      <c r="F163" s="139"/>
    </row>
    <row r="164" spans="1:6" x14ac:dyDescent="0.5">
      <c r="A164" s="49" t="s">
        <v>115</v>
      </c>
      <c r="B164" s="50" t="s">
        <v>140</v>
      </c>
      <c r="C164" s="137">
        <f>C114-41500</f>
        <v>204000</v>
      </c>
      <c r="D164" s="138"/>
      <c r="E164" s="142"/>
      <c r="F164" s="143"/>
    </row>
    <row r="165" spans="1:6" x14ac:dyDescent="0.5">
      <c r="A165" s="55" t="s">
        <v>112</v>
      </c>
      <c r="B165" s="52" t="s">
        <v>126</v>
      </c>
      <c r="C165" s="137">
        <f t="shared" si="3"/>
        <v>11887914.48</v>
      </c>
      <c r="D165" s="138"/>
      <c r="E165" s="137"/>
      <c r="F165" s="139"/>
    </row>
    <row r="166" spans="1:6" x14ac:dyDescent="0.5">
      <c r="A166" s="55" t="s">
        <v>116</v>
      </c>
      <c r="B166" s="52" t="s">
        <v>127</v>
      </c>
      <c r="C166" s="137">
        <f t="shared" si="3"/>
        <v>81353788.239999995</v>
      </c>
      <c r="D166" s="138"/>
      <c r="E166" s="137"/>
      <c r="F166" s="139"/>
    </row>
    <row r="167" spans="1:6" x14ac:dyDescent="0.5">
      <c r="A167" s="55" t="s">
        <v>129</v>
      </c>
      <c r="B167" s="52" t="s">
        <v>61</v>
      </c>
      <c r="C167" s="137">
        <f>C117+115892-60000-3550-5406-60000-6000-3560-24240</f>
        <v>40652</v>
      </c>
      <c r="D167" s="138"/>
      <c r="E167" s="137"/>
      <c r="F167" s="139"/>
    </row>
    <row r="168" spans="1:6" x14ac:dyDescent="0.5">
      <c r="A168" s="55" t="s">
        <v>130</v>
      </c>
      <c r="B168" s="52" t="s">
        <v>141</v>
      </c>
      <c r="C168" s="137">
        <f t="shared" si="3"/>
        <v>256900</v>
      </c>
      <c r="D168" s="138"/>
      <c r="E168" s="137"/>
      <c r="F168" s="139"/>
    </row>
    <row r="169" spans="1:6" x14ac:dyDescent="0.5">
      <c r="A169" s="55" t="s">
        <v>56</v>
      </c>
      <c r="B169" s="52" t="s">
        <v>60</v>
      </c>
      <c r="C169" s="137">
        <f>C119+62220-41500</f>
        <v>162660</v>
      </c>
      <c r="D169" s="138"/>
      <c r="E169" s="137"/>
      <c r="F169" s="139"/>
    </row>
    <row r="170" spans="1:6" x14ac:dyDescent="0.5">
      <c r="A170" s="55" t="s">
        <v>131</v>
      </c>
      <c r="B170" s="52" t="s">
        <v>142</v>
      </c>
      <c r="C170" s="137">
        <f>C120-500</f>
        <v>387187</v>
      </c>
      <c r="D170" s="138"/>
      <c r="E170" s="137"/>
      <c r="F170" s="139"/>
    </row>
    <row r="171" spans="1:6" x14ac:dyDescent="0.5">
      <c r="A171" s="55" t="s">
        <v>132</v>
      </c>
      <c r="B171" s="52" t="s">
        <v>143</v>
      </c>
      <c r="C171" s="137">
        <f>C121-175.75</f>
        <v>10182.1</v>
      </c>
      <c r="D171" s="138"/>
      <c r="E171" s="137"/>
      <c r="F171" s="139"/>
    </row>
    <row r="172" spans="1:6" x14ac:dyDescent="0.5">
      <c r="A172" s="55" t="s">
        <v>133</v>
      </c>
      <c r="B172" s="52" t="s">
        <v>144</v>
      </c>
      <c r="C172" s="137">
        <f>C122-800</f>
        <v>155896</v>
      </c>
      <c r="D172" s="138"/>
      <c r="E172" s="137"/>
      <c r="F172" s="139"/>
    </row>
    <row r="173" spans="1:6" x14ac:dyDescent="0.5">
      <c r="A173" s="55" t="s">
        <v>12</v>
      </c>
      <c r="B173" s="52" t="s">
        <v>62</v>
      </c>
      <c r="C173" s="137">
        <f>C123+106572+60000+60000</f>
        <v>1539336</v>
      </c>
      <c r="D173" s="138"/>
      <c r="E173" s="137"/>
      <c r="F173" s="139"/>
    </row>
    <row r="174" spans="1:6" x14ac:dyDescent="0.5">
      <c r="A174" s="55" t="s">
        <v>174</v>
      </c>
      <c r="B174" s="52" t="s">
        <v>175</v>
      </c>
      <c r="C174" s="137">
        <f>C124+1237100</f>
        <v>5067300</v>
      </c>
      <c r="D174" s="138"/>
      <c r="E174" s="137"/>
      <c r="F174" s="139"/>
    </row>
    <row r="175" spans="1:6" x14ac:dyDescent="0.5">
      <c r="A175" s="55" t="s">
        <v>4</v>
      </c>
      <c r="B175" s="52" t="s">
        <v>63</v>
      </c>
      <c r="C175" s="137">
        <f>C125+1079383</f>
        <v>3857496</v>
      </c>
      <c r="D175" s="138"/>
      <c r="E175" s="137"/>
      <c r="F175" s="139"/>
    </row>
    <row r="176" spans="1:6" x14ac:dyDescent="0.5">
      <c r="A176" s="55" t="s">
        <v>5</v>
      </c>
      <c r="B176" s="52" t="s">
        <v>63</v>
      </c>
      <c r="C176" s="137">
        <f>C126+629390</f>
        <v>2541560</v>
      </c>
      <c r="D176" s="138"/>
      <c r="E176" s="137"/>
      <c r="F176" s="139"/>
    </row>
    <row r="177" spans="1:6" x14ac:dyDescent="0.5">
      <c r="A177" s="55" t="s">
        <v>6</v>
      </c>
      <c r="B177" s="52" t="s">
        <v>64</v>
      </c>
      <c r="C177" s="137">
        <f>C127+19000</f>
        <v>59186</v>
      </c>
      <c r="D177" s="138"/>
      <c r="E177" s="137"/>
      <c r="F177" s="139"/>
    </row>
    <row r="178" spans="1:6" x14ac:dyDescent="0.5">
      <c r="A178" s="55" t="s">
        <v>7</v>
      </c>
      <c r="B178" s="52" t="s">
        <v>65</v>
      </c>
      <c r="C178" s="137">
        <f>C128+3318930+24240+3560+6000+5406+3550</f>
        <v>6125120</v>
      </c>
      <c r="D178" s="138"/>
      <c r="E178" s="137"/>
      <c r="F178" s="139"/>
    </row>
    <row r="179" spans="1:6" x14ac:dyDescent="0.5">
      <c r="A179" s="55" t="s">
        <v>179</v>
      </c>
      <c r="B179" s="52" t="s">
        <v>180</v>
      </c>
      <c r="C179" s="137">
        <f t="shared" si="3"/>
        <v>489780</v>
      </c>
      <c r="D179" s="138"/>
      <c r="E179" s="137"/>
      <c r="F179" s="139"/>
    </row>
    <row r="180" spans="1:6" x14ac:dyDescent="0.5">
      <c r="A180" s="55" t="s">
        <v>8</v>
      </c>
      <c r="B180" s="52" t="s">
        <v>66</v>
      </c>
      <c r="C180" s="137">
        <f>C130+663177</f>
        <v>1262946.6600000001</v>
      </c>
      <c r="D180" s="138"/>
      <c r="E180" s="137"/>
      <c r="F180" s="139"/>
    </row>
    <row r="181" spans="1:6" x14ac:dyDescent="0.5">
      <c r="A181" s="55" t="s">
        <v>9</v>
      </c>
      <c r="B181" s="52" t="s">
        <v>67</v>
      </c>
      <c r="C181" s="137">
        <f>C131+133484.68</f>
        <v>419743.96</v>
      </c>
      <c r="D181" s="138"/>
      <c r="E181" s="137"/>
      <c r="F181" s="139"/>
    </row>
    <row r="182" spans="1:6" x14ac:dyDescent="0.5">
      <c r="A182" s="55" t="s">
        <v>10</v>
      </c>
      <c r="B182" s="52" t="s">
        <v>69</v>
      </c>
      <c r="C182" s="137">
        <f>C132+2578000</f>
        <v>2677600</v>
      </c>
      <c r="D182" s="138"/>
      <c r="E182" s="137"/>
      <c r="F182" s="139"/>
    </row>
    <row r="183" spans="1:6" x14ac:dyDescent="0.5">
      <c r="A183" s="55" t="s">
        <v>11</v>
      </c>
      <c r="B183" s="52" t="s">
        <v>70</v>
      </c>
      <c r="C183" s="137">
        <v>490800</v>
      </c>
      <c r="D183" s="138"/>
      <c r="E183" s="137"/>
      <c r="F183" s="139"/>
    </row>
    <row r="184" spans="1:6" x14ac:dyDescent="0.5">
      <c r="A184" s="55" t="s">
        <v>13</v>
      </c>
      <c r="B184" s="52" t="s">
        <v>68</v>
      </c>
      <c r="C184" s="137">
        <f>C134+1229536.7</f>
        <v>1302536.7</v>
      </c>
      <c r="D184" s="138"/>
      <c r="E184" s="137"/>
      <c r="F184" s="139"/>
    </row>
    <row r="185" spans="1:6" x14ac:dyDescent="0.5">
      <c r="A185" s="55" t="s">
        <v>14</v>
      </c>
      <c r="B185" s="52" t="s">
        <v>71</v>
      </c>
      <c r="C185" s="137">
        <f t="shared" ref="C185:C190" si="4">C135</f>
        <v>0</v>
      </c>
      <c r="D185" s="138"/>
      <c r="E185" s="137">
        <f>E135+3540411.49+3500-266400-24.3</f>
        <v>52814115.330000006</v>
      </c>
      <c r="F185" s="139"/>
    </row>
    <row r="186" spans="1:6" x14ac:dyDescent="0.5">
      <c r="A186" s="55" t="s">
        <v>46</v>
      </c>
      <c r="B186" s="52" t="s">
        <v>74</v>
      </c>
      <c r="C186" s="137">
        <f t="shared" si="4"/>
        <v>0</v>
      </c>
      <c r="D186" s="138"/>
      <c r="E186" s="137">
        <f>'รายละเอียด(หมายเหตุ2)'!F131</f>
        <v>5710429.8100000005</v>
      </c>
      <c r="F186" s="139"/>
    </row>
    <row r="187" spans="1:6" x14ac:dyDescent="0.5">
      <c r="A187" s="55" t="s">
        <v>114</v>
      </c>
      <c r="B187" s="52" t="s">
        <v>145</v>
      </c>
      <c r="C187" s="137">
        <f t="shared" si="4"/>
        <v>0</v>
      </c>
      <c r="D187" s="138"/>
      <c r="E187" s="137">
        <f>E137-474740-41500</f>
        <v>257938</v>
      </c>
      <c r="F187" s="139"/>
    </row>
    <row r="188" spans="1:6" x14ac:dyDescent="0.5">
      <c r="A188" s="55" t="s">
        <v>204</v>
      </c>
      <c r="B188" s="52"/>
      <c r="C188" s="137">
        <f t="shared" si="4"/>
        <v>0</v>
      </c>
      <c r="D188" s="138"/>
      <c r="E188" s="137">
        <f t="shared" ref="E188:E190" si="5">E138</f>
        <v>2100</v>
      </c>
      <c r="F188" s="139"/>
    </row>
    <row r="189" spans="1:6" x14ac:dyDescent="0.5">
      <c r="A189" s="49" t="s">
        <v>111</v>
      </c>
      <c r="B189" s="50" t="s">
        <v>75</v>
      </c>
      <c r="C189" s="137">
        <f t="shared" si="4"/>
        <v>0</v>
      </c>
      <c r="D189" s="138"/>
      <c r="E189" s="137">
        <f t="shared" si="5"/>
        <v>185.94999999995343</v>
      </c>
      <c r="F189" s="139"/>
    </row>
    <row r="190" spans="1:6" x14ac:dyDescent="0.5">
      <c r="A190" s="49" t="s">
        <v>92</v>
      </c>
      <c r="B190" s="50" t="s">
        <v>93</v>
      </c>
      <c r="C190" s="137">
        <f t="shared" si="4"/>
        <v>0</v>
      </c>
      <c r="D190" s="138"/>
      <c r="E190" s="137">
        <f t="shared" si="5"/>
        <v>1200000</v>
      </c>
      <c r="F190" s="139"/>
    </row>
    <row r="191" spans="1:6" x14ac:dyDescent="0.5">
      <c r="A191" s="49" t="s">
        <v>224</v>
      </c>
      <c r="B191" s="50" t="s">
        <v>225</v>
      </c>
      <c r="C191" s="137"/>
      <c r="D191" s="138"/>
      <c r="E191" s="137">
        <v>8.14</v>
      </c>
      <c r="F191" s="139"/>
    </row>
    <row r="192" spans="1:6" x14ac:dyDescent="0.5">
      <c r="A192" s="55" t="s">
        <v>113</v>
      </c>
      <c r="B192" s="52" t="s">
        <v>128</v>
      </c>
      <c r="C192" s="137">
        <f>C141</f>
        <v>0</v>
      </c>
      <c r="D192" s="138"/>
      <c r="E192" s="137">
        <f>E141</f>
        <v>64468830.079999998</v>
      </c>
      <c r="F192" s="139"/>
    </row>
    <row r="193" spans="1:6" x14ac:dyDescent="0.5">
      <c r="A193" s="55" t="s">
        <v>15</v>
      </c>
      <c r="B193" s="52" t="s">
        <v>73</v>
      </c>
      <c r="C193" s="137">
        <f>C142</f>
        <v>0</v>
      </c>
      <c r="D193" s="138"/>
      <c r="E193" s="137">
        <f>E142</f>
        <v>42367858.840000011</v>
      </c>
      <c r="F193" s="139"/>
    </row>
    <row r="194" spans="1:6" x14ac:dyDescent="0.5">
      <c r="A194" s="55" t="s">
        <v>54</v>
      </c>
      <c r="B194" s="52" t="s">
        <v>72</v>
      </c>
      <c r="C194" s="137">
        <f>C143</f>
        <v>0</v>
      </c>
      <c r="D194" s="138"/>
      <c r="E194" s="137">
        <f>E143</f>
        <v>32433380.260000002</v>
      </c>
      <c r="F194" s="139"/>
    </row>
    <row r="195" spans="1:6" ht="24.75" thickBot="1" x14ac:dyDescent="0.55000000000000004">
      <c r="A195" s="56" t="s">
        <v>45</v>
      </c>
      <c r="B195" s="57"/>
      <c r="C195" s="130">
        <f>SUM(C154:C194)</f>
        <v>199254846.41</v>
      </c>
      <c r="D195" s="131"/>
      <c r="E195" s="130">
        <f>SUM(E154:E194)</f>
        <v>199254846.41</v>
      </c>
      <c r="F195" s="132"/>
    </row>
    <row r="196" spans="1:6" x14ac:dyDescent="0.5">
      <c r="A196" s="133"/>
      <c r="B196" s="133"/>
      <c r="C196" s="133"/>
      <c r="D196" s="53"/>
      <c r="E196" s="54"/>
      <c r="F196" s="54"/>
    </row>
    <row r="197" spans="1:6" ht="26.25" x14ac:dyDescent="0.55000000000000004">
      <c r="A197" s="61" t="s">
        <v>166</v>
      </c>
      <c r="B197" s="61"/>
      <c r="C197" s="134" t="s">
        <v>118</v>
      </c>
      <c r="D197" s="134"/>
      <c r="E197" s="134"/>
      <c r="F197" s="134"/>
    </row>
    <row r="198" spans="1:6" ht="26.25" x14ac:dyDescent="0.55000000000000004">
      <c r="A198" s="61" t="s">
        <v>167</v>
      </c>
      <c r="B198" s="61"/>
      <c r="C198" s="135" t="s">
        <v>216</v>
      </c>
      <c r="D198" s="135"/>
      <c r="E198" s="135"/>
      <c r="F198" s="135"/>
    </row>
    <row r="199" spans="1:6" ht="26.25" x14ac:dyDescent="0.55000000000000004">
      <c r="A199" s="62" t="s">
        <v>148</v>
      </c>
      <c r="B199" s="63"/>
      <c r="C199" s="136" t="s">
        <v>207</v>
      </c>
      <c r="D199" s="136"/>
      <c r="E199" s="136"/>
      <c r="F199" s="136"/>
    </row>
    <row r="200" spans="1:6" x14ac:dyDescent="0.5">
      <c r="A200" s="144" t="s">
        <v>95</v>
      </c>
      <c r="B200" s="144"/>
      <c r="C200" s="144"/>
      <c r="D200" s="144"/>
      <c r="E200" s="144"/>
      <c r="F200" s="144"/>
    </row>
    <row r="201" spans="1:6" x14ac:dyDescent="0.5">
      <c r="A201" s="144" t="s">
        <v>168</v>
      </c>
      <c r="B201" s="144"/>
      <c r="C201" s="144"/>
      <c r="D201" s="144"/>
      <c r="E201" s="144"/>
      <c r="F201" s="144"/>
    </row>
    <row r="202" spans="1:6" ht="24.75" thickBot="1" x14ac:dyDescent="0.55000000000000004">
      <c r="A202" s="145" t="s">
        <v>227</v>
      </c>
      <c r="B202" s="145"/>
      <c r="C202" s="145"/>
      <c r="D202" s="145"/>
      <c r="E202" s="145"/>
      <c r="F202" s="145"/>
    </row>
    <row r="203" spans="1:6" x14ac:dyDescent="0.5">
      <c r="A203" s="146" t="s">
        <v>76</v>
      </c>
      <c r="B203" s="148" t="s">
        <v>1</v>
      </c>
      <c r="C203" s="148" t="s">
        <v>2</v>
      </c>
      <c r="D203" s="148"/>
      <c r="E203" s="148" t="s">
        <v>3</v>
      </c>
      <c r="F203" s="150"/>
    </row>
    <row r="204" spans="1:6" ht="24.75" thickBot="1" x14ac:dyDescent="0.55000000000000004">
      <c r="A204" s="147"/>
      <c r="B204" s="149"/>
      <c r="C204" s="149"/>
      <c r="D204" s="149"/>
      <c r="E204" s="149"/>
      <c r="F204" s="151"/>
    </row>
    <row r="205" spans="1:6" ht="24.75" thickTop="1" x14ac:dyDescent="0.5">
      <c r="A205" s="55" t="s">
        <v>59</v>
      </c>
      <c r="B205" s="52"/>
      <c r="C205" s="137"/>
      <c r="D205" s="138"/>
      <c r="E205" s="137"/>
      <c r="F205" s="139"/>
    </row>
    <row r="206" spans="1:6" x14ac:dyDescent="0.5">
      <c r="A206" s="55" t="s">
        <v>107</v>
      </c>
      <c r="B206" s="52" t="s">
        <v>88</v>
      </c>
      <c r="C206" s="137">
        <f>C155+86110.75-2196005.75+226731+2058032.61+7234222.47-4500</f>
        <v>14298714.91</v>
      </c>
      <c r="D206" s="138"/>
      <c r="E206" s="137"/>
      <c r="F206" s="139"/>
    </row>
    <row r="207" spans="1:6" x14ac:dyDescent="0.5">
      <c r="A207" s="55" t="s">
        <v>119</v>
      </c>
      <c r="B207" s="52" t="s">
        <v>91</v>
      </c>
      <c r="C207" s="137">
        <f>C156+10220696.08-226731-2058032.61-7234222.47</f>
        <v>746710</v>
      </c>
      <c r="D207" s="138"/>
      <c r="E207" s="137"/>
      <c r="F207" s="139"/>
    </row>
    <row r="208" spans="1:6" x14ac:dyDescent="0.5">
      <c r="A208" s="55" t="s">
        <v>164</v>
      </c>
      <c r="B208" s="52" t="s">
        <v>88</v>
      </c>
      <c r="C208" s="140">
        <f>C157+352383.57</f>
        <v>5617202.6100000003</v>
      </c>
      <c r="D208" s="141"/>
      <c r="E208" s="137"/>
      <c r="F208" s="139"/>
    </row>
    <row r="209" spans="1:6" x14ac:dyDescent="0.5">
      <c r="A209" s="55" t="s">
        <v>165</v>
      </c>
      <c r="B209" s="52" t="s">
        <v>91</v>
      </c>
      <c r="C209" s="137">
        <f t="shared" ref="C209:C221" si="6">C158</f>
        <v>0</v>
      </c>
      <c r="D209" s="138"/>
      <c r="E209" s="137"/>
      <c r="F209" s="139"/>
    </row>
    <row r="210" spans="1:6" x14ac:dyDescent="0.5">
      <c r="A210" s="55" t="s">
        <v>108</v>
      </c>
      <c r="B210" s="52" t="s">
        <v>88</v>
      </c>
      <c r="C210" s="137">
        <f>C159+472997.09-4215858.06+4500</f>
        <v>17711046.570000004</v>
      </c>
      <c r="D210" s="138"/>
      <c r="E210" s="137"/>
      <c r="F210" s="139"/>
    </row>
    <row r="211" spans="1:6" x14ac:dyDescent="0.5">
      <c r="A211" s="55" t="s">
        <v>109</v>
      </c>
      <c r="B211" s="52" t="s">
        <v>88</v>
      </c>
      <c r="C211" s="137">
        <f>C160-260000</f>
        <v>3083273.52</v>
      </c>
      <c r="D211" s="138"/>
      <c r="E211" s="137"/>
      <c r="F211" s="139"/>
    </row>
    <row r="212" spans="1:6" x14ac:dyDescent="0.5">
      <c r="A212" s="55" t="s">
        <v>182</v>
      </c>
      <c r="B212" s="52" t="s">
        <v>88</v>
      </c>
      <c r="C212" s="137">
        <f t="shared" si="6"/>
        <v>1712961.47</v>
      </c>
      <c r="D212" s="138"/>
      <c r="E212" s="137"/>
      <c r="F212" s="139"/>
    </row>
    <row r="213" spans="1:6" x14ac:dyDescent="0.5">
      <c r="A213" s="55" t="s">
        <v>110</v>
      </c>
      <c r="B213" s="52" t="s">
        <v>89</v>
      </c>
      <c r="C213" s="137">
        <f t="shared" si="6"/>
        <v>35151610.010000005</v>
      </c>
      <c r="D213" s="138"/>
      <c r="E213" s="137"/>
      <c r="F213" s="139"/>
    </row>
    <row r="214" spans="1:6" x14ac:dyDescent="0.5">
      <c r="A214" s="55" t="s">
        <v>154</v>
      </c>
      <c r="B214" s="52" t="s">
        <v>89</v>
      </c>
      <c r="C214" s="137">
        <f t="shared" si="6"/>
        <v>5101065.8600000003</v>
      </c>
      <c r="D214" s="138"/>
      <c r="E214" s="137"/>
      <c r="F214" s="139"/>
    </row>
    <row r="215" spans="1:6" x14ac:dyDescent="0.5">
      <c r="A215" s="49" t="s">
        <v>115</v>
      </c>
      <c r="B215" s="50" t="s">
        <v>140</v>
      </c>
      <c r="C215" s="137">
        <f t="shared" si="6"/>
        <v>204000</v>
      </c>
      <c r="D215" s="138"/>
      <c r="E215" s="142"/>
      <c r="F215" s="143"/>
    </row>
    <row r="216" spans="1:6" x14ac:dyDescent="0.5">
      <c r="A216" s="55" t="s">
        <v>112</v>
      </c>
      <c r="B216" s="52" t="s">
        <v>126</v>
      </c>
      <c r="C216" s="137">
        <f t="shared" si="6"/>
        <v>11887914.48</v>
      </c>
      <c r="D216" s="138"/>
      <c r="E216" s="137"/>
      <c r="F216" s="139"/>
    </row>
    <row r="217" spans="1:6" x14ac:dyDescent="0.5">
      <c r="A217" s="55" t="s">
        <v>116</v>
      </c>
      <c r="B217" s="52" t="s">
        <v>127</v>
      </c>
      <c r="C217" s="137">
        <f t="shared" si="6"/>
        <v>81353788.239999995</v>
      </c>
      <c r="D217" s="138"/>
      <c r="E217" s="137"/>
      <c r="F217" s="139"/>
    </row>
    <row r="218" spans="1:6" x14ac:dyDescent="0.5">
      <c r="A218" s="55" t="s">
        <v>129</v>
      </c>
      <c r="B218" s="52" t="s">
        <v>61</v>
      </c>
      <c r="C218" s="137">
        <f>C167+11667-1215-7000-4046-7000-4046-3006-18560</f>
        <v>7446</v>
      </c>
      <c r="D218" s="138"/>
      <c r="E218" s="137"/>
      <c r="F218" s="139"/>
    </row>
    <row r="219" spans="1:6" x14ac:dyDescent="0.5">
      <c r="A219" s="55" t="s">
        <v>130</v>
      </c>
      <c r="B219" s="52" t="s">
        <v>141</v>
      </c>
      <c r="C219" s="137">
        <f t="shared" si="6"/>
        <v>256900</v>
      </c>
      <c r="D219" s="138"/>
      <c r="E219" s="137"/>
      <c r="F219" s="139"/>
    </row>
    <row r="220" spans="1:6" x14ac:dyDescent="0.5">
      <c r="A220" s="55" t="s">
        <v>56</v>
      </c>
      <c r="B220" s="52" t="s">
        <v>60</v>
      </c>
      <c r="C220" s="137">
        <f>C169+227850+1215-33000-720-33000-720-720-33000-900-33000-33000</f>
        <v>223665</v>
      </c>
      <c r="D220" s="138"/>
      <c r="E220" s="137"/>
      <c r="F220" s="139"/>
    </row>
    <row r="221" spans="1:6" x14ac:dyDescent="0.5">
      <c r="A221" s="55" t="s">
        <v>131</v>
      </c>
      <c r="B221" s="52" t="s">
        <v>142</v>
      </c>
      <c r="C221" s="137">
        <f t="shared" si="6"/>
        <v>387187</v>
      </c>
      <c r="D221" s="138"/>
      <c r="E221" s="137"/>
      <c r="F221" s="139"/>
    </row>
    <row r="222" spans="1:6" x14ac:dyDescent="0.5">
      <c r="A222" s="55" t="s">
        <v>132</v>
      </c>
      <c r="B222" s="52" t="s">
        <v>143</v>
      </c>
      <c r="C222" s="140">
        <f>C171-143.45</f>
        <v>10038.65</v>
      </c>
      <c r="D222" s="141"/>
      <c r="E222" s="137"/>
      <c r="F222" s="139"/>
    </row>
    <row r="223" spans="1:6" x14ac:dyDescent="0.5">
      <c r="A223" s="55" t="s">
        <v>133</v>
      </c>
      <c r="B223" s="52" t="s">
        <v>144</v>
      </c>
      <c r="C223" s="140">
        <f>C172-200</f>
        <v>155696</v>
      </c>
      <c r="D223" s="141"/>
      <c r="E223" s="137"/>
      <c r="F223" s="139"/>
    </row>
    <row r="224" spans="1:6" x14ac:dyDescent="0.5">
      <c r="A224" s="55" t="s">
        <v>12</v>
      </c>
      <c r="B224" s="52" t="s">
        <v>62</v>
      </c>
      <c r="C224" s="137">
        <f>C173+38870</f>
        <v>1578206</v>
      </c>
      <c r="D224" s="138"/>
      <c r="E224" s="137"/>
      <c r="F224" s="139"/>
    </row>
    <row r="225" spans="1:6" x14ac:dyDescent="0.5">
      <c r="A225" s="55" t="s">
        <v>174</v>
      </c>
      <c r="B225" s="52" t="s">
        <v>175</v>
      </c>
      <c r="C225" s="137">
        <f>C174+1113200+720+720+720+900</f>
        <v>6183560</v>
      </c>
      <c r="D225" s="138"/>
      <c r="E225" s="137"/>
      <c r="F225" s="139"/>
    </row>
    <row r="226" spans="1:6" x14ac:dyDescent="0.5">
      <c r="A226" s="55" t="s">
        <v>4</v>
      </c>
      <c r="B226" s="52" t="s">
        <v>63</v>
      </c>
      <c r="C226" s="137">
        <f>C175+1059855</f>
        <v>4917351</v>
      </c>
      <c r="D226" s="138"/>
      <c r="E226" s="137"/>
      <c r="F226" s="139"/>
    </row>
    <row r="227" spans="1:6" x14ac:dyDescent="0.5">
      <c r="A227" s="55" t="s">
        <v>183</v>
      </c>
      <c r="B227" s="52" t="s">
        <v>184</v>
      </c>
      <c r="C227" s="137">
        <f>15000*5</f>
        <v>75000</v>
      </c>
      <c r="D227" s="138"/>
      <c r="E227" s="137"/>
      <c r="F227" s="139"/>
    </row>
    <row r="228" spans="1:6" x14ac:dyDescent="0.5">
      <c r="A228" s="55" t="s">
        <v>5</v>
      </c>
      <c r="B228" s="52" t="s">
        <v>63</v>
      </c>
      <c r="C228" s="137">
        <f>C176+629390</f>
        <v>3170950</v>
      </c>
      <c r="D228" s="138"/>
      <c r="E228" s="137"/>
      <c r="F228" s="139"/>
    </row>
    <row r="229" spans="1:6" x14ac:dyDescent="0.5">
      <c r="A229" s="55" t="s">
        <v>185</v>
      </c>
      <c r="B229" s="52" t="s">
        <v>184</v>
      </c>
      <c r="C229" s="137">
        <f>9000*2*5</f>
        <v>90000</v>
      </c>
      <c r="D229" s="138"/>
      <c r="E229" s="137"/>
      <c r="F229" s="139"/>
    </row>
    <row r="230" spans="1:6" x14ac:dyDescent="0.5">
      <c r="A230" s="55" t="s">
        <v>6</v>
      </c>
      <c r="B230" s="52" t="s">
        <v>64</v>
      </c>
      <c r="C230" s="137">
        <f>C177+14017.5</f>
        <v>73203.5</v>
      </c>
      <c r="D230" s="138"/>
      <c r="E230" s="137"/>
      <c r="F230" s="139"/>
    </row>
    <row r="231" spans="1:6" x14ac:dyDescent="0.5">
      <c r="A231" s="55" t="s">
        <v>7</v>
      </c>
      <c r="B231" s="52" t="s">
        <v>65</v>
      </c>
      <c r="C231" s="137">
        <f>C178+1561769-18160+7000+4046+7000+4046+3006+18560</f>
        <v>7712387</v>
      </c>
      <c r="D231" s="138"/>
      <c r="E231" s="137"/>
      <c r="F231" s="139"/>
    </row>
    <row r="232" spans="1:6" x14ac:dyDescent="0.5">
      <c r="A232" s="55" t="s">
        <v>179</v>
      </c>
      <c r="B232" s="52" t="s">
        <v>180</v>
      </c>
      <c r="C232" s="137">
        <f>C179</f>
        <v>489780</v>
      </c>
      <c r="D232" s="138"/>
      <c r="E232" s="137"/>
      <c r="F232" s="139"/>
    </row>
    <row r="233" spans="1:6" x14ac:dyDescent="0.5">
      <c r="A233" s="55" t="s">
        <v>8</v>
      </c>
      <c r="B233" s="52" t="s">
        <v>66</v>
      </c>
      <c r="C233" s="137">
        <f>C180+760291.19+18160</f>
        <v>2041397.85</v>
      </c>
      <c r="D233" s="138"/>
      <c r="E233" s="137"/>
      <c r="F233" s="139"/>
    </row>
    <row r="234" spans="1:6" x14ac:dyDescent="0.5">
      <c r="A234" s="55" t="s">
        <v>9</v>
      </c>
      <c r="B234" s="52" t="s">
        <v>67</v>
      </c>
      <c r="C234" s="137">
        <f>C181+84535.21</f>
        <v>504279.17000000004</v>
      </c>
      <c r="D234" s="138"/>
      <c r="E234" s="137"/>
      <c r="F234" s="139"/>
    </row>
    <row r="235" spans="1:6" x14ac:dyDescent="0.5">
      <c r="A235" s="55" t="s">
        <v>10</v>
      </c>
      <c r="B235" s="52" t="s">
        <v>69</v>
      </c>
      <c r="C235" s="137">
        <f>C182+199000</f>
        <v>2876600</v>
      </c>
      <c r="D235" s="138"/>
      <c r="E235" s="137"/>
      <c r="F235" s="139"/>
    </row>
    <row r="236" spans="1:6" x14ac:dyDescent="0.5">
      <c r="A236" s="55" t="s">
        <v>11</v>
      </c>
      <c r="B236" s="52" t="s">
        <v>70</v>
      </c>
      <c r="C236" s="137">
        <f>C183+200000</f>
        <v>690800</v>
      </c>
      <c r="D236" s="138"/>
      <c r="E236" s="137"/>
      <c r="F236" s="139"/>
    </row>
    <row r="237" spans="1:6" x14ac:dyDescent="0.5">
      <c r="A237" s="55" t="s">
        <v>13</v>
      </c>
      <c r="B237" s="52" t="s">
        <v>68</v>
      </c>
      <c r="C237" s="137">
        <f>C184+30000</f>
        <v>1332536.7</v>
      </c>
      <c r="D237" s="138"/>
      <c r="E237" s="137"/>
      <c r="F237" s="139"/>
    </row>
    <row r="238" spans="1:6" x14ac:dyDescent="0.5">
      <c r="A238" s="55" t="s">
        <v>14</v>
      </c>
      <c r="B238" s="52" t="s">
        <v>71</v>
      </c>
      <c r="C238" s="137">
        <f t="shared" ref="C238:C243" si="7">C186</f>
        <v>0</v>
      </c>
      <c r="D238" s="138"/>
      <c r="E238" s="137">
        <f>E185+10286756.94+165000+3960+573000+1</f>
        <v>63842833.270000003</v>
      </c>
      <c r="F238" s="139"/>
    </row>
    <row r="239" spans="1:6" x14ac:dyDescent="0.5">
      <c r="A239" s="55" t="s">
        <v>46</v>
      </c>
      <c r="B239" s="52" t="s">
        <v>74</v>
      </c>
      <c r="C239" s="137">
        <f t="shared" si="7"/>
        <v>0</v>
      </c>
      <c r="D239" s="138"/>
      <c r="E239" s="137">
        <f>'รายละเอียด(หมายเหตุ2)'!F168</f>
        <v>5272145.1400000006</v>
      </c>
      <c r="F239" s="139"/>
    </row>
    <row r="240" spans="1:6" x14ac:dyDescent="0.5">
      <c r="A240" s="55" t="s">
        <v>114</v>
      </c>
      <c r="B240" s="52" t="s">
        <v>145</v>
      </c>
      <c r="C240" s="137">
        <f t="shared" si="7"/>
        <v>0</v>
      </c>
      <c r="D240" s="138"/>
      <c r="E240" s="137">
        <f t="shared" ref="E240:E243" si="8">E187</f>
        <v>257938</v>
      </c>
      <c r="F240" s="139"/>
    </row>
    <row r="241" spans="1:6" x14ac:dyDescent="0.5">
      <c r="A241" s="55" t="s">
        <v>204</v>
      </c>
      <c r="B241" s="52"/>
      <c r="C241" s="137">
        <f t="shared" si="7"/>
        <v>0</v>
      </c>
      <c r="D241" s="138"/>
      <c r="E241" s="137">
        <f t="shared" si="8"/>
        <v>2100</v>
      </c>
      <c r="F241" s="139"/>
    </row>
    <row r="242" spans="1:6" x14ac:dyDescent="0.5">
      <c r="A242" s="49" t="s">
        <v>111</v>
      </c>
      <c r="B242" s="50" t="s">
        <v>75</v>
      </c>
      <c r="C242" s="137">
        <f t="shared" si="7"/>
        <v>0</v>
      </c>
      <c r="D242" s="138"/>
      <c r="E242" s="137">
        <f t="shared" si="8"/>
        <v>185.94999999995343</v>
      </c>
      <c r="F242" s="139"/>
    </row>
    <row r="243" spans="1:6" x14ac:dyDescent="0.5">
      <c r="A243" s="49" t="s">
        <v>92</v>
      </c>
      <c r="B243" s="50" t="s">
        <v>93</v>
      </c>
      <c r="C243" s="137">
        <f t="shared" si="7"/>
        <v>0</v>
      </c>
      <c r="D243" s="138"/>
      <c r="E243" s="137">
        <f t="shared" si="8"/>
        <v>1200000</v>
      </c>
      <c r="F243" s="139"/>
    </row>
    <row r="244" spans="1:6" x14ac:dyDescent="0.5">
      <c r="A244" s="55" t="s">
        <v>113</v>
      </c>
      <c r="B244" s="52" t="s">
        <v>128</v>
      </c>
      <c r="C244" s="137">
        <f>C192</f>
        <v>0</v>
      </c>
      <c r="D244" s="138"/>
      <c r="E244" s="137">
        <f>E192</f>
        <v>64468830.079999998</v>
      </c>
      <c r="F244" s="139"/>
    </row>
    <row r="245" spans="1:6" x14ac:dyDescent="0.5">
      <c r="A245" s="55" t="s">
        <v>15</v>
      </c>
      <c r="B245" s="52" t="s">
        <v>73</v>
      </c>
      <c r="C245" s="137">
        <f>C193</f>
        <v>0</v>
      </c>
      <c r="D245" s="138"/>
      <c r="E245" s="137">
        <f>E193-200000</f>
        <v>42167858.840000011</v>
      </c>
      <c r="F245" s="139"/>
    </row>
    <row r="246" spans="1:6" x14ac:dyDescent="0.5">
      <c r="A246" s="55" t="s">
        <v>54</v>
      </c>
      <c r="B246" s="52" t="s">
        <v>72</v>
      </c>
      <c r="C246" s="137">
        <f>C194</f>
        <v>0</v>
      </c>
      <c r="D246" s="138"/>
      <c r="E246" s="137">
        <f>E194</f>
        <v>32433380.260000002</v>
      </c>
      <c r="F246" s="139"/>
    </row>
    <row r="247" spans="1:6" ht="24.75" thickBot="1" x14ac:dyDescent="0.55000000000000004">
      <c r="A247" s="56" t="s">
        <v>45</v>
      </c>
      <c r="B247" s="57"/>
      <c r="C247" s="130">
        <f>SUM(C205:C246)</f>
        <v>209645271.53999999</v>
      </c>
      <c r="D247" s="131"/>
      <c r="E247" s="130">
        <f>SUM(E205:E246)</f>
        <v>209645271.53999999</v>
      </c>
      <c r="F247" s="132"/>
    </row>
    <row r="248" spans="1:6" x14ac:dyDescent="0.5">
      <c r="A248" s="133"/>
      <c r="B248" s="133"/>
      <c r="C248" s="133"/>
      <c r="D248" s="53"/>
      <c r="E248" s="54"/>
      <c r="F248" s="54"/>
    </row>
    <row r="249" spans="1:6" ht="26.25" x14ac:dyDescent="0.55000000000000004">
      <c r="A249" s="61" t="s">
        <v>166</v>
      </c>
      <c r="B249" s="61"/>
      <c r="C249" s="134" t="s">
        <v>118</v>
      </c>
      <c r="D249" s="134"/>
      <c r="E249" s="134"/>
      <c r="F249" s="134"/>
    </row>
    <row r="250" spans="1:6" ht="26.25" x14ac:dyDescent="0.55000000000000004">
      <c r="A250" s="61" t="s">
        <v>167</v>
      </c>
      <c r="B250" s="61"/>
      <c r="C250" s="135" t="s">
        <v>216</v>
      </c>
      <c r="D250" s="135"/>
      <c r="E250" s="135"/>
      <c r="F250" s="135"/>
    </row>
    <row r="251" spans="1:6" ht="26.25" x14ac:dyDescent="0.55000000000000004">
      <c r="A251" s="62" t="s">
        <v>148</v>
      </c>
      <c r="B251" s="63"/>
      <c r="C251" s="136" t="s">
        <v>207</v>
      </c>
      <c r="D251" s="136"/>
      <c r="E251" s="136"/>
      <c r="F251" s="136"/>
    </row>
    <row r="252" spans="1:6" x14ac:dyDescent="0.5">
      <c r="A252" s="144" t="s">
        <v>95</v>
      </c>
      <c r="B252" s="144"/>
      <c r="C252" s="144"/>
      <c r="D252" s="144"/>
      <c r="E252" s="144"/>
      <c r="F252" s="144"/>
    </row>
    <row r="253" spans="1:6" x14ac:dyDescent="0.5">
      <c r="A253" s="144" t="s">
        <v>168</v>
      </c>
      <c r="B253" s="144"/>
      <c r="C253" s="144"/>
      <c r="D253" s="144"/>
      <c r="E253" s="144"/>
      <c r="F253" s="144"/>
    </row>
    <row r="254" spans="1:6" ht="24.75" thickBot="1" x14ac:dyDescent="0.55000000000000004">
      <c r="A254" s="145" t="s">
        <v>232</v>
      </c>
      <c r="B254" s="145"/>
      <c r="C254" s="145"/>
      <c r="D254" s="145"/>
      <c r="E254" s="145"/>
      <c r="F254" s="145"/>
    </row>
    <row r="255" spans="1:6" x14ac:dyDescent="0.5">
      <c r="A255" s="146" t="s">
        <v>76</v>
      </c>
      <c r="B255" s="148" t="s">
        <v>1</v>
      </c>
      <c r="C255" s="148" t="s">
        <v>2</v>
      </c>
      <c r="D255" s="148"/>
      <c r="E255" s="148" t="s">
        <v>3</v>
      </c>
      <c r="F255" s="150"/>
    </row>
    <row r="256" spans="1:6" ht="24.75" thickBot="1" x14ac:dyDescent="0.55000000000000004">
      <c r="A256" s="147"/>
      <c r="B256" s="149"/>
      <c r="C256" s="149"/>
      <c r="D256" s="149"/>
      <c r="E256" s="149"/>
      <c r="F256" s="151"/>
    </row>
    <row r="257" spans="1:6" ht="24.75" thickTop="1" x14ac:dyDescent="0.5">
      <c r="A257" s="55" t="s">
        <v>59</v>
      </c>
      <c r="B257" s="52"/>
      <c r="C257" s="137"/>
      <c r="D257" s="138"/>
      <c r="E257" s="137"/>
      <c r="F257" s="139"/>
    </row>
    <row r="258" spans="1:6" x14ac:dyDescent="0.5">
      <c r="A258" s="55" t="s">
        <v>107</v>
      </c>
      <c r="B258" s="52" t="s">
        <v>88</v>
      </c>
      <c r="C258" s="137">
        <f>C206-1792976+4300+7806910</f>
        <v>20316948.91</v>
      </c>
      <c r="D258" s="138"/>
      <c r="E258" s="137"/>
      <c r="F258" s="139"/>
    </row>
    <row r="259" spans="1:6" x14ac:dyDescent="0.5">
      <c r="A259" s="55" t="s">
        <v>119</v>
      </c>
      <c r="B259" s="52" t="s">
        <v>91</v>
      </c>
      <c r="C259" s="137">
        <f>C207+7727244.8-7806910-624958</f>
        <v>42086.800000000745</v>
      </c>
      <c r="D259" s="138"/>
      <c r="E259" s="137"/>
      <c r="F259" s="139"/>
    </row>
    <row r="260" spans="1:6" x14ac:dyDescent="0.5">
      <c r="A260" s="55" t="s">
        <v>164</v>
      </c>
      <c r="B260" s="52" t="s">
        <v>88</v>
      </c>
      <c r="C260" s="137">
        <f>C208+337499.57</f>
        <v>5954702.1800000006</v>
      </c>
      <c r="D260" s="138"/>
      <c r="E260" s="137"/>
      <c r="F260" s="139"/>
    </row>
    <row r="261" spans="1:6" x14ac:dyDescent="0.5">
      <c r="A261" s="55" t="s">
        <v>165</v>
      </c>
      <c r="B261" s="52" t="s">
        <v>91</v>
      </c>
      <c r="C261" s="137">
        <f t="shared" ref="C261:C275" si="9">C209</f>
        <v>0</v>
      </c>
      <c r="D261" s="138"/>
      <c r="E261" s="137"/>
      <c r="F261" s="139"/>
    </row>
    <row r="262" spans="1:6" x14ac:dyDescent="0.5">
      <c r="A262" s="55" t="s">
        <v>108</v>
      </c>
      <c r="B262" s="52" t="s">
        <v>88</v>
      </c>
      <c r="C262" s="137">
        <f>C210-4279481.26+4164596.16+624958</f>
        <v>18221119.470000006</v>
      </c>
      <c r="D262" s="138"/>
      <c r="E262" s="137"/>
      <c r="F262" s="139"/>
    </row>
    <row r="263" spans="1:6" x14ac:dyDescent="0.5">
      <c r="A263" s="55" t="s">
        <v>109</v>
      </c>
      <c r="B263" s="52" t="s">
        <v>88</v>
      </c>
      <c r="C263" s="137">
        <f>C211-598000+579442.5</f>
        <v>3064716.02</v>
      </c>
      <c r="D263" s="138"/>
      <c r="E263" s="137"/>
      <c r="F263" s="139"/>
    </row>
    <row r="264" spans="1:6" x14ac:dyDescent="0.5">
      <c r="A264" s="55" t="s">
        <v>182</v>
      </c>
      <c r="B264" s="52" t="s">
        <v>88</v>
      </c>
      <c r="C264" s="137">
        <f>C212+12559</f>
        <v>1725520.47</v>
      </c>
      <c r="D264" s="138"/>
      <c r="E264" s="137"/>
      <c r="F264" s="139"/>
    </row>
    <row r="265" spans="1:6" x14ac:dyDescent="0.5">
      <c r="A265" s="55" t="s">
        <v>110</v>
      </c>
      <c r="B265" s="52" t="s">
        <v>89</v>
      </c>
      <c r="C265" s="137">
        <f t="shared" si="9"/>
        <v>35151610.010000005</v>
      </c>
      <c r="D265" s="138"/>
      <c r="E265" s="137"/>
      <c r="F265" s="139"/>
    </row>
    <row r="266" spans="1:6" x14ac:dyDescent="0.5">
      <c r="A266" s="55" t="s">
        <v>154</v>
      </c>
      <c r="B266" s="52" t="s">
        <v>89</v>
      </c>
      <c r="C266" s="137">
        <f t="shared" si="9"/>
        <v>5101065.8600000003</v>
      </c>
      <c r="D266" s="138"/>
      <c r="E266" s="137"/>
      <c r="F266" s="139"/>
    </row>
    <row r="267" spans="1:6" x14ac:dyDescent="0.5">
      <c r="A267" s="49" t="s">
        <v>115</v>
      </c>
      <c r="B267" s="50" t="s">
        <v>140</v>
      </c>
      <c r="C267" s="137">
        <f>C215-10000</f>
        <v>194000</v>
      </c>
      <c r="D267" s="138"/>
      <c r="E267" s="142"/>
      <c r="F267" s="143"/>
    </row>
    <row r="268" spans="1:6" x14ac:dyDescent="0.5">
      <c r="A268" s="55" t="s">
        <v>112</v>
      </c>
      <c r="B268" s="52" t="s">
        <v>126</v>
      </c>
      <c r="C268" s="137">
        <f t="shared" si="9"/>
        <v>11887914.48</v>
      </c>
      <c r="D268" s="138"/>
      <c r="E268" s="137"/>
      <c r="F268" s="139"/>
    </row>
    <row r="269" spans="1:6" x14ac:dyDescent="0.5">
      <c r="A269" s="55" t="s">
        <v>116</v>
      </c>
      <c r="B269" s="52" t="s">
        <v>127</v>
      </c>
      <c r="C269" s="137">
        <f t="shared" si="9"/>
        <v>81353788.239999995</v>
      </c>
      <c r="D269" s="138"/>
      <c r="E269" s="137"/>
      <c r="F269" s="139"/>
    </row>
    <row r="270" spans="1:6" x14ac:dyDescent="0.5">
      <c r="A270" s="55" t="s">
        <v>129</v>
      </c>
      <c r="B270" s="52" t="s">
        <v>61</v>
      </c>
      <c r="C270" s="137">
        <f>C218+31866-2812-7446</f>
        <v>29054</v>
      </c>
      <c r="D270" s="138"/>
      <c r="E270" s="137"/>
      <c r="F270" s="139"/>
    </row>
    <row r="271" spans="1:6" x14ac:dyDescent="0.5">
      <c r="A271" s="55" t="s">
        <v>130</v>
      </c>
      <c r="B271" s="52" t="s">
        <v>141</v>
      </c>
      <c r="C271" s="137">
        <f>C219-10000</f>
        <v>246900</v>
      </c>
      <c r="D271" s="138"/>
      <c r="E271" s="137"/>
      <c r="F271" s="139"/>
    </row>
    <row r="272" spans="1:6" x14ac:dyDescent="0.5">
      <c r="A272" s="55" t="s">
        <v>56</v>
      </c>
      <c r="B272" s="52" t="s">
        <v>60</v>
      </c>
      <c r="C272" s="137">
        <f>C220+180500-33000-324500</f>
        <v>46665</v>
      </c>
      <c r="D272" s="138"/>
      <c r="E272" s="137"/>
      <c r="F272" s="139"/>
    </row>
    <row r="273" spans="1:6" x14ac:dyDescent="0.5">
      <c r="A273" s="55" t="s">
        <v>131</v>
      </c>
      <c r="B273" s="52" t="s">
        <v>142</v>
      </c>
      <c r="C273" s="137">
        <f t="shared" si="9"/>
        <v>387187</v>
      </c>
      <c r="D273" s="138"/>
      <c r="E273" s="137"/>
      <c r="F273" s="139"/>
    </row>
    <row r="274" spans="1:6" x14ac:dyDescent="0.5">
      <c r="A274" s="55" t="s">
        <v>132</v>
      </c>
      <c r="B274" s="52" t="s">
        <v>143</v>
      </c>
      <c r="C274" s="137">
        <f>C222-741</f>
        <v>9297.65</v>
      </c>
      <c r="D274" s="138"/>
      <c r="E274" s="137"/>
      <c r="F274" s="139"/>
    </row>
    <row r="275" spans="1:6" x14ac:dyDescent="0.5">
      <c r="A275" s="55" t="s">
        <v>133</v>
      </c>
      <c r="B275" s="52" t="s">
        <v>144</v>
      </c>
      <c r="C275" s="137">
        <f t="shared" si="9"/>
        <v>155696</v>
      </c>
      <c r="D275" s="138"/>
      <c r="E275" s="137"/>
      <c r="F275" s="139"/>
    </row>
    <row r="276" spans="1:6" x14ac:dyDescent="0.5">
      <c r="A276" s="55" t="s">
        <v>12</v>
      </c>
      <c r="B276" s="52" t="s">
        <v>62</v>
      </c>
      <c r="C276" s="137">
        <f>C224+618312.5</f>
        <v>2196518.5</v>
      </c>
      <c r="D276" s="138"/>
      <c r="E276" s="137"/>
      <c r="F276" s="139"/>
    </row>
    <row r="277" spans="1:6" x14ac:dyDescent="0.5">
      <c r="A277" s="55" t="s">
        <v>174</v>
      </c>
      <c r="B277" s="52" t="s">
        <v>175</v>
      </c>
      <c r="C277" s="137">
        <f>C225+1109300+324500</f>
        <v>7617360</v>
      </c>
      <c r="D277" s="138"/>
      <c r="E277" s="137"/>
      <c r="F277" s="139"/>
    </row>
    <row r="278" spans="1:6" x14ac:dyDescent="0.5">
      <c r="A278" s="55" t="s">
        <v>4</v>
      </c>
      <c r="B278" s="52" t="s">
        <v>63</v>
      </c>
      <c r="C278" s="137">
        <f>C226+1057755</f>
        <v>5975106</v>
      </c>
      <c r="D278" s="138"/>
      <c r="E278" s="137"/>
      <c r="F278" s="139"/>
    </row>
    <row r="279" spans="1:6" x14ac:dyDescent="0.5">
      <c r="A279" s="55" t="s">
        <v>183</v>
      </c>
      <c r="B279" s="52" t="s">
        <v>184</v>
      </c>
      <c r="C279" s="137">
        <f>C227+15000</f>
        <v>90000</v>
      </c>
      <c r="D279" s="138"/>
      <c r="E279" s="137"/>
      <c r="F279" s="139"/>
    </row>
    <row r="280" spans="1:6" x14ac:dyDescent="0.5">
      <c r="A280" s="55" t="s">
        <v>5</v>
      </c>
      <c r="B280" s="52" t="s">
        <v>63</v>
      </c>
      <c r="C280" s="137">
        <f>C228+631250</f>
        <v>3802200</v>
      </c>
      <c r="D280" s="138"/>
      <c r="E280" s="137"/>
      <c r="F280" s="139"/>
    </row>
    <row r="281" spans="1:6" x14ac:dyDescent="0.5">
      <c r="A281" s="55" t="s">
        <v>185</v>
      </c>
      <c r="B281" s="52" t="s">
        <v>184</v>
      </c>
      <c r="C281" s="137">
        <f>C229+18000</f>
        <v>108000</v>
      </c>
      <c r="D281" s="138"/>
      <c r="E281" s="137"/>
      <c r="F281" s="139"/>
    </row>
    <row r="282" spans="1:6" x14ac:dyDescent="0.5">
      <c r="A282" s="55" t="s">
        <v>6</v>
      </c>
      <c r="B282" s="52" t="s">
        <v>64</v>
      </c>
      <c r="C282" s="137">
        <f>C230+8300</f>
        <v>81503.5</v>
      </c>
      <c r="D282" s="138"/>
      <c r="E282" s="137"/>
      <c r="F282" s="139"/>
    </row>
    <row r="283" spans="1:6" x14ac:dyDescent="0.5">
      <c r="A283" s="55" t="s">
        <v>177</v>
      </c>
      <c r="B283" s="52" t="s">
        <v>178</v>
      </c>
      <c r="C283" s="137">
        <v>25000</v>
      </c>
      <c r="D283" s="138"/>
      <c r="E283" s="137"/>
      <c r="F283" s="139"/>
    </row>
    <row r="284" spans="1:6" x14ac:dyDescent="0.5">
      <c r="A284" s="55" t="s">
        <v>7</v>
      </c>
      <c r="B284" s="52" t="s">
        <v>65</v>
      </c>
      <c r="C284" s="137">
        <f>C231+503272.19-1200+2812+7446</f>
        <v>8224717.1900000004</v>
      </c>
      <c r="D284" s="138"/>
      <c r="E284" s="137"/>
      <c r="F284" s="139"/>
    </row>
    <row r="285" spans="1:6" x14ac:dyDescent="0.5">
      <c r="A285" s="55" t="s">
        <v>179</v>
      </c>
      <c r="B285" s="52" t="s">
        <v>180</v>
      </c>
      <c r="C285" s="137">
        <f>C232</f>
        <v>489780</v>
      </c>
      <c r="D285" s="138"/>
      <c r="E285" s="137"/>
      <c r="F285" s="139"/>
    </row>
    <row r="286" spans="1:6" x14ac:dyDescent="0.5">
      <c r="A286" s="55" t="s">
        <v>8</v>
      </c>
      <c r="B286" s="52" t="s">
        <v>66</v>
      </c>
      <c r="C286" s="137">
        <f>C233+222868</f>
        <v>2264265.85</v>
      </c>
      <c r="D286" s="138"/>
      <c r="E286" s="137"/>
      <c r="F286" s="139"/>
    </row>
    <row r="287" spans="1:6" x14ac:dyDescent="0.5">
      <c r="A287" s="55" t="s">
        <v>9</v>
      </c>
      <c r="B287" s="52" t="s">
        <v>67</v>
      </c>
      <c r="C287" s="137">
        <f>C234+134603.35</f>
        <v>638882.52</v>
      </c>
      <c r="D287" s="138"/>
      <c r="E287" s="137"/>
      <c r="F287" s="139"/>
    </row>
    <row r="288" spans="1:6" x14ac:dyDescent="0.5">
      <c r="A288" s="55" t="s">
        <v>10</v>
      </c>
      <c r="B288" s="52" t="s">
        <v>69</v>
      </c>
      <c r="C288" s="137">
        <f>C235</f>
        <v>2876600</v>
      </c>
      <c r="D288" s="138"/>
      <c r="E288" s="137"/>
      <c r="F288" s="139"/>
    </row>
    <row r="289" spans="1:6" x14ac:dyDescent="0.5">
      <c r="A289" s="55" t="s">
        <v>11</v>
      </c>
      <c r="B289" s="52" t="s">
        <v>70</v>
      </c>
      <c r="C289" s="137">
        <f>C236+310000</f>
        <v>1000800</v>
      </c>
      <c r="D289" s="138"/>
      <c r="E289" s="137"/>
      <c r="F289" s="139"/>
    </row>
    <row r="290" spans="1:6" x14ac:dyDescent="0.5">
      <c r="A290" s="55" t="s">
        <v>13</v>
      </c>
      <c r="B290" s="52" t="s">
        <v>68</v>
      </c>
      <c r="C290" s="137">
        <f t="shared" ref="C290:C299" si="10">C237</f>
        <v>1332536.7</v>
      </c>
      <c r="D290" s="138"/>
      <c r="E290" s="137"/>
      <c r="F290" s="139"/>
    </row>
    <row r="291" spans="1:6" x14ac:dyDescent="0.5">
      <c r="A291" s="55" t="s">
        <v>14</v>
      </c>
      <c r="B291" s="52" t="s">
        <v>71</v>
      </c>
      <c r="C291" s="137">
        <f t="shared" si="10"/>
        <v>0</v>
      </c>
      <c r="D291" s="138"/>
      <c r="E291" s="137">
        <f>E238+4770438.13+33000+900+25000+7060200</f>
        <v>75732371.400000006</v>
      </c>
      <c r="F291" s="139"/>
    </row>
    <row r="292" spans="1:6" x14ac:dyDescent="0.5">
      <c r="A292" s="55" t="s">
        <v>46</v>
      </c>
      <c r="B292" s="52" t="s">
        <v>74</v>
      </c>
      <c r="C292" s="137">
        <f t="shared" si="10"/>
        <v>0</v>
      </c>
      <c r="D292" s="138"/>
      <c r="E292" s="137">
        <f>'รายละเอียด(หมายเหตุ2)'!F204</f>
        <v>5258877.82</v>
      </c>
      <c r="F292" s="139"/>
    </row>
    <row r="293" spans="1:6" x14ac:dyDescent="0.5">
      <c r="A293" s="55" t="s">
        <v>114</v>
      </c>
      <c r="B293" s="52" t="s">
        <v>145</v>
      </c>
      <c r="C293" s="137">
        <f t="shared" si="10"/>
        <v>0</v>
      </c>
      <c r="D293" s="138"/>
      <c r="E293" s="137">
        <f>E240-10000</f>
        <v>247938</v>
      </c>
      <c r="F293" s="139"/>
    </row>
    <row r="294" spans="1:6" x14ac:dyDescent="0.5">
      <c r="A294" s="55" t="s">
        <v>204</v>
      </c>
      <c r="B294" s="52"/>
      <c r="C294" s="137">
        <f t="shared" si="10"/>
        <v>0</v>
      </c>
      <c r="D294" s="138"/>
      <c r="E294" s="137">
        <f>E241</f>
        <v>2100</v>
      </c>
      <c r="F294" s="139"/>
    </row>
    <row r="295" spans="1:6" x14ac:dyDescent="0.5">
      <c r="A295" s="49" t="s">
        <v>111</v>
      </c>
      <c r="B295" s="50" t="s">
        <v>75</v>
      </c>
      <c r="C295" s="137">
        <f t="shared" si="10"/>
        <v>0</v>
      </c>
      <c r="D295" s="138"/>
      <c r="E295" s="137">
        <f>E242</f>
        <v>185.94999999995343</v>
      </c>
      <c r="F295" s="139"/>
    </row>
    <row r="296" spans="1:6" x14ac:dyDescent="0.5">
      <c r="A296" s="49" t="s">
        <v>92</v>
      </c>
      <c r="B296" s="50" t="s">
        <v>93</v>
      </c>
      <c r="C296" s="137">
        <f t="shared" si="10"/>
        <v>0</v>
      </c>
      <c r="D296" s="138"/>
      <c r="E296" s="137">
        <f>E243</f>
        <v>1200000</v>
      </c>
      <c r="F296" s="139"/>
    </row>
    <row r="297" spans="1:6" x14ac:dyDescent="0.5">
      <c r="A297" s="55" t="s">
        <v>113</v>
      </c>
      <c r="B297" s="52" t="s">
        <v>128</v>
      </c>
      <c r="C297" s="137">
        <f t="shared" si="10"/>
        <v>0</v>
      </c>
      <c r="D297" s="138"/>
      <c r="E297" s="137">
        <f>E244</f>
        <v>64468830.079999998</v>
      </c>
      <c r="F297" s="139"/>
    </row>
    <row r="298" spans="1:6" x14ac:dyDescent="0.5">
      <c r="A298" s="55" t="s">
        <v>15</v>
      </c>
      <c r="B298" s="52" t="s">
        <v>73</v>
      </c>
      <c r="C298" s="137">
        <f t="shared" si="10"/>
        <v>0</v>
      </c>
      <c r="D298" s="138"/>
      <c r="E298" s="137">
        <f>E245-900000</f>
        <v>41267858.840000011</v>
      </c>
      <c r="F298" s="139"/>
    </row>
    <row r="299" spans="1:6" x14ac:dyDescent="0.5">
      <c r="A299" s="55" t="s">
        <v>54</v>
      </c>
      <c r="B299" s="52" t="s">
        <v>72</v>
      </c>
      <c r="C299" s="137">
        <f t="shared" si="10"/>
        <v>0</v>
      </c>
      <c r="D299" s="138"/>
      <c r="E299" s="137">
        <f>E246</f>
        <v>32433380.260000002</v>
      </c>
      <c r="F299" s="139"/>
    </row>
    <row r="300" spans="1:6" ht="24.75" thickBot="1" x14ac:dyDescent="0.55000000000000004">
      <c r="A300" s="56" t="s">
        <v>45</v>
      </c>
      <c r="B300" s="57"/>
      <c r="C300" s="130">
        <f>SUM(C257:C299)</f>
        <v>220611542.34999999</v>
      </c>
      <c r="D300" s="131"/>
      <c r="E300" s="130">
        <f>SUM(E257:E299)</f>
        <v>220611542.34999999</v>
      </c>
      <c r="F300" s="132"/>
    </row>
    <row r="301" spans="1:6" x14ac:dyDescent="0.5">
      <c r="A301" s="133"/>
      <c r="B301" s="133"/>
      <c r="C301" s="133"/>
      <c r="D301" s="53"/>
      <c r="E301" s="54"/>
      <c r="F301" s="54"/>
    </row>
    <row r="302" spans="1:6" ht="26.25" x14ac:dyDescent="0.55000000000000004">
      <c r="A302" s="61" t="s">
        <v>166</v>
      </c>
      <c r="B302" s="61"/>
      <c r="C302" s="134" t="s">
        <v>118</v>
      </c>
      <c r="D302" s="134"/>
      <c r="E302" s="134"/>
      <c r="F302" s="134"/>
    </row>
    <row r="303" spans="1:6" ht="26.25" x14ac:dyDescent="0.55000000000000004">
      <c r="A303" s="61" t="s">
        <v>167</v>
      </c>
      <c r="B303" s="61"/>
      <c r="C303" s="135" t="s">
        <v>216</v>
      </c>
      <c r="D303" s="135"/>
      <c r="E303" s="135"/>
      <c r="F303" s="135"/>
    </row>
    <row r="304" spans="1:6" ht="26.25" x14ac:dyDescent="0.55000000000000004">
      <c r="A304" s="62" t="s">
        <v>148</v>
      </c>
      <c r="B304" s="63"/>
      <c r="C304" s="136" t="s">
        <v>207</v>
      </c>
      <c r="D304" s="136"/>
      <c r="E304" s="136"/>
      <c r="F304" s="136"/>
    </row>
  </sheetData>
  <mergeCells count="562">
    <mergeCell ref="C299:D299"/>
    <mergeCell ref="E299:F299"/>
    <mergeCell ref="C300:D300"/>
    <mergeCell ref="E300:F300"/>
    <mergeCell ref="A301:C301"/>
    <mergeCell ref="C302:F302"/>
    <mergeCell ref="C303:F303"/>
    <mergeCell ref="C304:F304"/>
    <mergeCell ref="C283:D283"/>
    <mergeCell ref="E283:F28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A252:F252"/>
    <mergeCell ref="A253:F253"/>
    <mergeCell ref="A254:F254"/>
    <mergeCell ref="A255:A256"/>
    <mergeCell ref="B255:B256"/>
    <mergeCell ref="C255:D256"/>
    <mergeCell ref="E255:F256"/>
    <mergeCell ref="C257:D257"/>
    <mergeCell ref="E257:F257"/>
    <mergeCell ref="C146:F146"/>
    <mergeCell ref="C147:F147"/>
    <mergeCell ref="C148:F148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A145:C14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5:D125"/>
    <mergeCell ref="E125:F125"/>
    <mergeCell ref="C124:D124"/>
    <mergeCell ref="E124:F12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A99:F99"/>
    <mergeCell ref="A100:F100"/>
    <mergeCell ref="A101:F101"/>
    <mergeCell ref="A102:A103"/>
    <mergeCell ref="B102:B103"/>
    <mergeCell ref="C102:D103"/>
    <mergeCell ref="E102:F103"/>
    <mergeCell ref="C104:D104"/>
    <mergeCell ref="E104:F104"/>
    <mergeCell ref="C95:F95"/>
    <mergeCell ref="C96:F96"/>
    <mergeCell ref="C97:F97"/>
    <mergeCell ref="C91:D91"/>
    <mergeCell ref="E91:F91"/>
    <mergeCell ref="C92:D92"/>
    <mergeCell ref="E92:F92"/>
    <mergeCell ref="C93:D93"/>
    <mergeCell ref="E93:F93"/>
    <mergeCell ref="C87:D87"/>
    <mergeCell ref="E87:F87"/>
    <mergeCell ref="A94:C94"/>
    <mergeCell ref="C88:D88"/>
    <mergeCell ref="E88:F88"/>
    <mergeCell ref="C89:D89"/>
    <mergeCell ref="E89:F89"/>
    <mergeCell ref="C90:D90"/>
    <mergeCell ref="E90:F90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77:D77"/>
    <mergeCell ref="E77:F77"/>
    <mergeCell ref="C79:D79"/>
    <mergeCell ref="E79:F79"/>
    <mergeCell ref="C80:D80"/>
    <mergeCell ref="E80:F80"/>
    <mergeCell ref="C78:D78"/>
    <mergeCell ref="E78:F78"/>
    <mergeCell ref="C74:D74"/>
    <mergeCell ref="E74:F74"/>
    <mergeCell ref="C75:D75"/>
    <mergeCell ref="E75:F75"/>
    <mergeCell ref="C76:D76"/>
    <mergeCell ref="E76:F76"/>
    <mergeCell ref="C71:D71"/>
    <mergeCell ref="E71:F71"/>
    <mergeCell ref="C72:D72"/>
    <mergeCell ref="E72:F72"/>
    <mergeCell ref="C73:D73"/>
    <mergeCell ref="E73:F73"/>
    <mergeCell ref="C68:D68"/>
    <mergeCell ref="E68:F68"/>
    <mergeCell ref="C69:D69"/>
    <mergeCell ref="E69:F69"/>
    <mergeCell ref="C70:D70"/>
    <mergeCell ref="E70:F70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7:D57"/>
    <mergeCell ref="E57:F57"/>
    <mergeCell ref="C58:D58"/>
    <mergeCell ref="E58:F58"/>
    <mergeCell ref="C56:D56"/>
    <mergeCell ref="E56:F56"/>
    <mergeCell ref="C54:D54"/>
    <mergeCell ref="E54:F54"/>
    <mergeCell ref="C55:D55"/>
    <mergeCell ref="E55:F55"/>
    <mergeCell ref="C47:F47"/>
    <mergeCell ref="A51:F51"/>
    <mergeCell ref="C43:D43"/>
    <mergeCell ref="E43:F43"/>
    <mergeCell ref="A44:C44"/>
    <mergeCell ref="C45:F45"/>
    <mergeCell ref="C46:F46"/>
    <mergeCell ref="A50:F50"/>
    <mergeCell ref="A52:A53"/>
    <mergeCell ref="B52:B53"/>
    <mergeCell ref="C52:D53"/>
    <mergeCell ref="E52:F53"/>
    <mergeCell ref="A49:F49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29:D29"/>
    <mergeCell ref="C36:D36"/>
    <mergeCell ref="E36:F36"/>
    <mergeCell ref="C31:D31"/>
    <mergeCell ref="E31:F31"/>
    <mergeCell ref="C32:D32"/>
    <mergeCell ref="E32:F32"/>
    <mergeCell ref="C33:D33"/>
    <mergeCell ref="E33:F33"/>
    <mergeCell ref="E29:F29"/>
    <mergeCell ref="C30:D30"/>
    <mergeCell ref="E30:F30"/>
    <mergeCell ref="C10:D10"/>
    <mergeCell ref="E10:F10"/>
    <mergeCell ref="C11:D11"/>
    <mergeCell ref="E11:F11"/>
    <mergeCell ref="C9:D9"/>
    <mergeCell ref="E9:F9"/>
    <mergeCell ref="C25:D25"/>
    <mergeCell ref="E25:F25"/>
    <mergeCell ref="C26:D26"/>
    <mergeCell ref="E26:F26"/>
    <mergeCell ref="C13:D13"/>
    <mergeCell ref="E13:F13"/>
    <mergeCell ref="C12:D12"/>
    <mergeCell ref="E12:F12"/>
    <mergeCell ref="C16:D16"/>
    <mergeCell ref="E16:F16"/>
    <mergeCell ref="C17:D17"/>
    <mergeCell ref="E17:F17"/>
    <mergeCell ref="C18:D18"/>
    <mergeCell ref="E18:F18"/>
    <mergeCell ref="C14:D14"/>
    <mergeCell ref="E14:F14"/>
    <mergeCell ref="C28:D28"/>
    <mergeCell ref="E28:F28"/>
    <mergeCell ref="C15:D15"/>
    <mergeCell ref="E15:F15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27:D27"/>
    <mergeCell ref="E27:F27"/>
    <mergeCell ref="A1:F1"/>
    <mergeCell ref="A2:F2"/>
    <mergeCell ref="A3:F3"/>
    <mergeCell ref="A4:A5"/>
    <mergeCell ref="B4:B5"/>
    <mergeCell ref="C4:D5"/>
    <mergeCell ref="E4:F5"/>
    <mergeCell ref="C8:D8"/>
    <mergeCell ref="E8:F8"/>
    <mergeCell ref="C6:D6"/>
    <mergeCell ref="E6:F6"/>
    <mergeCell ref="C7:D7"/>
    <mergeCell ref="E7:F7"/>
    <mergeCell ref="A149:F149"/>
    <mergeCell ref="A150:F150"/>
    <mergeCell ref="A151:F151"/>
    <mergeCell ref="A152:A153"/>
    <mergeCell ref="B152:B153"/>
    <mergeCell ref="C152:D153"/>
    <mergeCell ref="E152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A196:C196"/>
    <mergeCell ref="C197:F197"/>
    <mergeCell ref="C198:F198"/>
    <mergeCell ref="C199:F199"/>
    <mergeCell ref="E191:F191"/>
    <mergeCell ref="C191:D191"/>
    <mergeCell ref="C190:D190"/>
    <mergeCell ref="E190:F190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A200:F200"/>
    <mergeCell ref="A201:F201"/>
    <mergeCell ref="A202:F202"/>
    <mergeCell ref="A203:A204"/>
    <mergeCell ref="B203:B204"/>
    <mergeCell ref="C203:D204"/>
    <mergeCell ref="E203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8:D228"/>
    <mergeCell ref="E228:F228"/>
    <mergeCell ref="C230:D230"/>
    <mergeCell ref="E230:F230"/>
    <mergeCell ref="C231:D231"/>
    <mergeCell ref="E231:F231"/>
    <mergeCell ref="C232:D232"/>
    <mergeCell ref="E232:F232"/>
    <mergeCell ref="C227:D227"/>
    <mergeCell ref="E227:F227"/>
    <mergeCell ref="C229:D229"/>
    <mergeCell ref="E229:F229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7:D247"/>
    <mergeCell ref="E247:F247"/>
    <mergeCell ref="A248:C248"/>
    <mergeCell ref="C249:F249"/>
    <mergeCell ref="C250:F250"/>
    <mergeCell ref="C251:F251"/>
    <mergeCell ref="C243:D243"/>
    <mergeCell ref="E243:F243"/>
    <mergeCell ref="C244:D244"/>
    <mergeCell ref="E244:F244"/>
    <mergeCell ref="C245:D245"/>
    <mergeCell ref="E245:F245"/>
    <mergeCell ref="C246:D246"/>
    <mergeCell ref="E246:F246"/>
  </mergeCells>
  <pageMargins left="0.59055118110236227" right="0.39370078740157483" top="7.874015748031496E-2" bottom="7.874015748031496E-2" header="0.31496062992125984" footer="0.31496062992125984"/>
  <pageSetup paperSize="9" scale="65" orientation="portrait" r:id="rId1"/>
  <rowBreaks count="4" manualBreakCount="4">
    <brk id="48" max="16383" man="1"/>
    <brk id="148" max="8" man="1"/>
    <brk id="199" max="8" man="1"/>
    <brk id="2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view="pageBreakPreview" topLeftCell="A19" zoomScaleSheetLayoutView="150" workbookViewId="0">
      <selection activeCell="E27" sqref="E27"/>
    </sheetView>
  </sheetViews>
  <sheetFormatPr defaultColWidth="8.796875" defaultRowHeight="23.25" x14ac:dyDescent="0.5"/>
  <cols>
    <col min="1" max="1" width="20.796875" style="23" customWidth="1"/>
    <col min="2" max="2" width="4.796875" style="14" customWidth="1"/>
    <col min="3" max="3" width="3.796875" style="14" customWidth="1"/>
    <col min="4" max="4" width="21" style="14" customWidth="1"/>
    <col min="5" max="5" width="69.796875" style="14" customWidth="1"/>
    <col min="6" max="6" width="16.19921875" style="14" customWidth="1"/>
    <col min="7" max="7" width="4.3984375" style="14" customWidth="1"/>
    <col min="8" max="8" width="20.796875" style="14" customWidth="1"/>
    <col min="9" max="12" width="27.796875" style="14" customWidth="1"/>
    <col min="13" max="16384" width="8.796875" style="14"/>
  </cols>
  <sheetData>
    <row r="1" spans="1:8" x14ac:dyDescent="0.5">
      <c r="A1" s="170" t="s">
        <v>95</v>
      </c>
      <c r="B1" s="170"/>
      <c r="C1" s="170"/>
      <c r="D1" s="170"/>
      <c r="E1" s="170"/>
      <c r="F1" s="170"/>
      <c r="G1" s="170"/>
      <c r="H1" s="170"/>
    </row>
    <row r="2" spans="1:8" x14ac:dyDescent="0.5">
      <c r="A2" s="170" t="s">
        <v>147</v>
      </c>
      <c r="B2" s="170"/>
      <c r="C2" s="170"/>
      <c r="D2" s="170"/>
      <c r="E2" s="170"/>
      <c r="F2" s="170"/>
      <c r="G2" s="170"/>
      <c r="H2" s="170"/>
    </row>
    <row r="3" spans="1:8" x14ac:dyDescent="0.5">
      <c r="A3" s="19"/>
      <c r="B3" s="1"/>
      <c r="C3" s="1"/>
      <c r="D3" s="1"/>
      <c r="E3" s="1"/>
      <c r="F3" s="171" t="s">
        <v>199</v>
      </c>
      <c r="G3" s="171"/>
      <c r="H3" s="171"/>
    </row>
    <row r="4" spans="1:8" x14ac:dyDescent="0.5">
      <c r="A4" s="170" t="s">
        <v>17</v>
      </c>
      <c r="B4" s="170"/>
      <c r="C4" s="170"/>
      <c r="D4" s="170"/>
      <c r="E4" s="170"/>
      <c r="F4" s="170"/>
      <c r="G4" s="170"/>
      <c r="H4" s="170"/>
    </row>
    <row r="5" spans="1:8" ht="24" thickBot="1" x14ac:dyDescent="0.55000000000000004">
      <c r="A5" s="59"/>
      <c r="B5" s="27"/>
      <c r="C5" s="27"/>
      <c r="D5" s="27"/>
      <c r="E5" s="27"/>
      <c r="F5" s="174" t="s">
        <v>169</v>
      </c>
      <c r="G5" s="174"/>
      <c r="H5" s="174"/>
    </row>
    <row r="6" spans="1:8" ht="24" thickTop="1" x14ac:dyDescent="0.5">
      <c r="A6" s="175" t="s">
        <v>18</v>
      </c>
      <c r="B6" s="175"/>
      <c r="C6" s="175"/>
      <c r="D6" s="175"/>
      <c r="E6" s="25"/>
      <c r="F6" s="175" t="s">
        <v>19</v>
      </c>
      <c r="G6" s="175"/>
      <c r="H6" s="175"/>
    </row>
    <row r="7" spans="1:8" x14ac:dyDescent="0.5">
      <c r="A7" s="176" t="s">
        <v>20</v>
      </c>
      <c r="B7" s="177"/>
      <c r="C7" s="178" t="s">
        <v>22</v>
      </c>
      <c r="D7" s="178"/>
      <c r="E7" s="179" t="s">
        <v>0</v>
      </c>
      <c r="F7" s="79" t="s">
        <v>23</v>
      </c>
      <c r="G7" s="176" t="s">
        <v>22</v>
      </c>
      <c r="H7" s="177"/>
    </row>
    <row r="8" spans="1:8" ht="24" thickBot="1" x14ac:dyDescent="0.55000000000000004">
      <c r="A8" s="167" t="s">
        <v>21</v>
      </c>
      <c r="B8" s="168"/>
      <c r="C8" s="169" t="s">
        <v>21</v>
      </c>
      <c r="D8" s="169"/>
      <c r="E8" s="180"/>
      <c r="F8" s="80" t="s">
        <v>24</v>
      </c>
      <c r="G8" s="167" t="s">
        <v>21</v>
      </c>
      <c r="H8" s="168"/>
    </row>
    <row r="9" spans="1:8" ht="24" thickTop="1" x14ac:dyDescent="0.5">
      <c r="A9" s="18"/>
      <c r="B9" s="25"/>
      <c r="C9" s="172">
        <f>G9</f>
        <v>53744181.479999997</v>
      </c>
      <c r="D9" s="173"/>
      <c r="E9" s="14" t="s">
        <v>25</v>
      </c>
      <c r="F9" s="28"/>
      <c r="G9" s="172">
        <v>53744181.479999997</v>
      </c>
      <c r="H9" s="173"/>
    </row>
    <row r="10" spans="1:8" x14ac:dyDescent="0.5">
      <c r="A10" s="8"/>
      <c r="B10" s="6"/>
      <c r="C10" s="161"/>
      <c r="D10" s="162"/>
      <c r="E10" s="14" t="s">
        <v>186</v>
      </c>
      <c r="F10" s="29" t="s">
        <v>71</v>
      </c>
      <c r="G10" s="161"/>
      <c r="H10" s="162"/>
    </row>
    <row r="11" spans="1:8" x14ac:dyDescent="0.5">
      <c r="A11" s="8">
        <v>3565000</v>
      </c>
      <c r="B11" s="5" t="s">
        <v>16</v>
      </c>
      <c r="C11" s="161">
        <f>G11</f>
        <v>3504</v>
      </c>
      <c r="D11" s="162"/>
      <c r="E11" s="14" t="s">
        <v>26</v>
      </c>
      <c r="F11" s="29" t="s">
        <v>77</v>
      </c>
      <c r="G11" s="161">
        <v>3504</v>
      </c>
      <c r="H11" s="162"/>
    </row>
    <row r="12" spans="1:8" x14ac:dyDescent="0.5">
      <c r="A12" s="8">
        <v>1135000</v>
      </c>
      <c r="B12" s="5" t="s">
        <v>16</v>
      </c>
      <c r="C12" s="161">
        <f t="shared" ref="C12:C18" si="0">G12</f>
        <v>70095</v>
      </c>
      <c r="D12" s="162"/>
      <c r="E12" s="14" t="s">
        <v>27</v>
      </c>
      <c r="F12" s="29" t="s">
        <v>78</v>
      </c>
      <c r="G12" s="161">
        <v>70095</v>
      </c>
      <c r="H12" s="162"/>
    </row>
    <row r="13" spans="1:8" x14ac:dyDescent="0.5">
      <c r="A13" s="8">
        <v>401000</v>
      </c>
      <c r="B13" s="5" t="s">
        <v>16</v>
      </c>
      <c r="C13" s="161">
        <f t="shared" si="0"/>
        <v>30000</v>
      </c>
      <c r="D13" s="162"/>
      <c r="E13" s="14" t="s">
        <v>28</v>
      </c>
      <c r="F13" s="29" t="s">
        <v>79</v>
      </c>
      <c r="G13" s="161">
        <v>30000</v>
      </c>
      <c r="H13" s="162"/>
    </row>
    <row r="14" spans="1:8" x14ac:dyDescent="0.5">
      <c r="A14" s="8">
        <v>1000</v>
      </c>
      <c r="B14" s="5" t="s">
        <v>16</v>
      </c>
      <c r="C14" s="161">
        <f t="shared" si="0"/>
        <v>0</v>
      </c>
      <c r="D14" s="162"/>
      <c r="E14" s="14" t="s">
        <v>29</v>
      </c>
      <c r="F14" s="29" t="s">
        <v>81</v>
      </c>
      <c r="G14" s="161"/>
      <c r="H14" s="162"/>
    </row>
    <row r="15" spans="1:8" x14ac:dyDescent="0.5">
      <c r="A15" s="8">
        <v>152000</v>
      </c>
      <c r="B15" s="5" t="s">
        <v>16</v>
      </c>
      <c r="C15" s="161">
        <f t="shared" si="0"/>
        <v>6864</v>
      </c>
      <c r="D15" s="162"/>
      <c r="E15" s="14" t="s">
        <v>30</v>
      </c>
      <c r="F15" s="29" t="s">
        <v>80</v>
      </c>
      <c r="G15" s="161">
        <v>6864</v>
      </c>
      <c r="H15" s="162"/>
    </row>
    <row r="16" spans="1:8" x14ac:dyDescent="0.5">
      <c r="A16" s="2">
        <v>1000</v>
      </c>
      <c r="B16" s="5"/>
      <c r="C16" s="161">
        <f t="shared" si="0"/>
        <v>0</v>
      </c>
      <c r="D16" s="162"/>
      <c r="E16" s="14" t="s">
        <v>31</v>
      </c>
      <c r="F16" s="29" t="s">
        <v>82</v>
      </c>
      <c r="G16" s="161"/>
      <c r="H16" s="162"/>
    </row>
    <row r="17" spans="1:8" x14ac:dyDescent="0.5">
      <c r="A17" s="8">
        <v>54205000</v>
      </c>
      <c r="B17" s="5" t="s">
        <v>16</v>
      </c>
      <c r="C17" s="161">
        <f t="shared" si="0"/>
        <v>2877437.83</v>
      </c>
      <c r="D17" s="162"/>
      <c r="E17" s="14" t="s">
        <v>32</v>
      </c>
      <c r="F17" s="29" t="s">
        <v>83</v>
      </c>
      <c r="G17" s="161">
        <v>2877437.83</v>
      </c>
      <c r="H17" s="162"/>
    </row>
    <row r="18" spans="1:8" x14ac:dyDescent="0.5">
      <c r="A18" s="8">
        <v>27386000</v>
      </c>
      <c r="B18" s="5" t="s">
        <v>16</v>
      </c>
      <c r="C18" s="161">
        <f t="shared" si="0"/>
        <v>0</v>
      </c>
      <c r="D18" s="162"/>
      <c r="E18" s="14" t="s">
        <v>13</v>
      </c>
      <c r="F18" s="29" t="s">
        <v>84</v>
      </c>
      <c r="G18" s="161">
        <v>0</v>
      </c>
      <c r="H18" s="162"/>
    </row>
    <row r="19" spans="1:8" ht="24" thickBot="1" x14ac:dyDescent="0.55000000000000004">
      <c r="A19" s="64">
        <f>SUM(A11:A18)</f>
        <v>86846000</v>
      </c>
      <c r="B19" s="60" t="s">
        <v>16</v>
      </c>
      <c r="C19" s="163">
        <f>SUM(C11:C18)</f>
        <v>2987900.83</v>
      </c>
      <c r="D19" s="164"/>
      <c r="F19" s="29"/>
      <c r="G19" s="163">
        <f>SUM(G11:G18)</f>
        <v>2987900.83</v>
      </c>
      <c r="H19" s="164"/>
    </row>
    <row r="20" spans="1:8" s="22" customFormat="1" ht="24" thickTop="1" x14ac:dyDescent="0.5">
      <c r="A20" s="31"/>
      <c r="C20" s="165"/>
      <c r="D20" s="166"/>
      <c r="E20" s="43" t="s">
        <v>134</v>
      </c>
      <c r="F20" s="34"/>
      <c r="G20" s="165">
        <v>0</v>
      </c>
      <c r="H20" s="166"/>
    </row>
    <row r="21" spans="1:8" s="22" customFormat="1" x14ac:dyDescent="0.5">
      <c r="A21" s="31"/>
      <c r="C21" s="155">
        <f>G21</f>
        <v>0</v>
      </c>
      <c r="D21" s="156"/>
      <c r="E21" s="22" t="s">
        <v>155</v>
      </c>
      <c r="F21" s="34"/>
      <c r="G21" s="155"/>
      <c r="H21" s="156"/>
    </row>
    <row r="22" spans="1:8" s="22" customFormat="1" x14ac:dyDescent="0.5">
      <c r="A22" s="31"/>
      <c r="C22" s="155"/>
      <c r="D22" s="156"/>
      <c r="E22" s="22" t="s">
        <v>156</v>
      </c>
      <c r="F22" s="34"/>
      <c r="G22" s="155"/>
      <c r="H22" s="156"/>
    </row>
    <row r="23" spans="1:8" s="22" customFormat="1" x14ac:dyDescent="0.5">
      <c r="A23" s="31"/>
      <c r="C23" s="155"/>
      <c r="D23" s="156"/>
      <c r="E23" s="43" t="s">
        <v>135</v>
      </c>
      <c r="F23" s="34"/>
      <c r="G23" s="157"/>
      <c r="H23" s="158"/>
    </row>
    <row r="24" spans="1:8" s="22" customFormat="1" x14ac:dyDescent="0.5">
      <c r="A24" s="31"/>
      <c r="C24" s="155"/>
      <c r="D24" s="156"/>
      <c r="E24" s="22" t="s">
        <v>157</v>
      </c>
      <c r="F24" s="34"/>
      <c r="G24" s="155"/>
      <c r="H24" s="156"/>
    </row>
    <row r="25" spans="1:8" s="22" customFormat="1" x14ac:dyDescent="0.5">
      <c r="A25" s="31"/>
      <c r="C25" s="155"/>
      <c r="D25" s="156"/>
      <c r="E25" s="22" t="s">
        <v>158</v>
      </c>
      <c r="F25" s="34"/>
      <c r="G25" s="155"/>
      <c r="H25" s="156"/>
    </row>
    <row r="26" spans="1:8" s="22" customFormat="1" x14ac:dyDescent="0.5">
      <c r="A26" s="31"/>
      <c r="C26" s="155"/>
      <c r="D26" s="156"/>
      <c r="E26" s="22" t="s">
        <v>160</v>
      </c>
      <c r="F26" s="34"/>
      <c r="G26" s="155"/>
      <c r="H26" s="156"/>
    </row>
    <row r="27" spans="1:8" s="22" customFormat="1" x14ac:dyDescent="0.5">
      <c r="A27" s="31"/>
      <c r="C27" s="155"/>
      <c r="D27" s="156"/>
      <c r="E27" s="22" t="s">
        <v>159</v>
      </c>
      <c r="F27" s="34"/>
      <c r="G27" s="155"/>
      <c r="H27" s="156"/>
    </row>
    <row r="28" spans="1:8" s="22" customFormat="1" x14ac:dyDescent="0.5">
      <c r="A28" s="31"/>
      <c r="C28" s="155">
        <f t="shared" ref="C28:C37" si="1">G28</f>
        <v>478621.25</v>
      </c>
      <c r="D28" s="156"/>
      <c r="E28" s="22" t="s">
        <v>33</v>
      </c>
      <c r="F28" s="34" t="s">
        <v>74</v>
      </c>
      <c r="G28" s="157">
        <f>'รายละเอียด(หมายเหตุ2)'!D21</f>
        <v>478621.25</v>
      </c>
      <c r="H28" s="158"/>
    </row>
    <row r="29" spans="1:8" s="22" customFormat="1" x14ac:dyDescent="0.5">
      <c r="A29" s="31"/>
      <c r="C29" s="155">
        <f t="shared" si="1"/>
        <v>6668</v>
      </c>
      <c r="D29" s="156"/>
      <c r="E29" s="22" t="s">
        <v>34</v>
      </c>
      <c r="F29" s="34" t="s">
        <v>61</v>
      </c>
      <c r="G29" s="157">
        <v>6668</v>
      </c>
      <c r="H29" s="158"/>
    </row>
    <row r="30" spans="1:8" s="22" customFormat="1" x14ac:dyDescent="0.5">
      <c r="A30" s="31"/>
      <c r="C30" s="155">
        <f t="shared" si="1"/>
        <v>0</v>
      </c>
      <c r="D30" s="156"/>
      <c r="E30" s="22" t="s">
        <v>56</v>
      </c>
      <c r="F30" s="34" t="s">
        <v>60</v>
      </c>
      <c r="G30" s="157"/>
      <c r="H30" s="158"/>
    </row>
    <row r="31" spans="1:8" s="22" customFormat="1" x14ac:dyDescent="0.5">
      <c r="A31" s="31"/>
      <c r="C31" s="155">
        <f t="shared" si="1"/>
        <v>0</v>
      </c>
      <c r="D31" s="156"/>
      <c r="E31" s="22" t="s">
        <v>137</v>
      </c>
      <c r="F31" s="34" t="s">
        <v>141</v>
      </c>
      <c r="G31" s="157"/>
      <c r="H31" s="158"/>
    </row>
    <row r="32" spans="1:8" s="22" customFormat="1" x14ac:dyDescent="0.5">
      <c r="A32" s="31"/>
      <c r="C32" s="155">
        <f t="shared" si="1"/>
        <v>0</v>
      </c>
      <c r="D32" s="156"/>
      <c r="E32" s="22" t="s">
        <v>102</v>
      </c>
      <c r="F32" s="34" t="s">
        <v>142</v>
      </c>
      <c r="G32" s="157"/>
      <c r="H32" s="158"/>
    </row>
    <row r="33" spans="1:8" s="22" customFormat="1" x14ac:dyDescent="0.5">
      <c r="A33" s="31"/>
      <c r="C33" s="155">
        <f t="shared" si="1"/>
        <v>114</v>
      </c>
      <c r="D33" s="156"/>
      <c r="E33" s="22" t="s">
        <v>138</v>
      </c>
      <c r="F33" s="34" t="s">
        <v>143</v>
      </c>
      <c r="G33" s="157">
        <v>114</v>
      </c>
      <c r="H33" s="158"/>
    </row>
    <row r="34" spans="1:8" s="22" customFormat="1" x14ac:dyDescent="0.5">
      <c r="A34" s="31"/>
      <c r="C34" s="155">
        <f t="shared" si="1"/>
        <v>200</v>
      </c>
      <c r="D34" s="156"/>
      <c r="E34" s="22" t="s">
        <v>125</v>
      </c>
      <c r="F34" s="34" t="s">
        <v>144</v>
      </c>
      <c r="G34" s="157">
        <v>200</v>
      </c>
      <c r="H34" s="158"/>
    </row>
    <row r="35" spans="1:8" s="22" customFormat="1" x14ac:dyDescent="0.5">
      <c r="A35" s="31"/>
      <c r="C35" s="155">
        <f t="shared" si="1"/>
        <v>0</v>
      </c>
      <c r="D35" s="156"/>
      <c r="E35" s="22" t="s">
        <v>139</v>
      </c>
      <c r="F35" s="34" t="s">
        <v>146</v>
      </c>
      <c r="G35" s="157"/>
      <c r="H35" s="158"/>
    </row>
    <row r="36" spans="1:8" s="22" customFormat="1" ht="20.25" customHeight="1" x14ac:dyDescent="0.5">
      <c r="A36" s="31"/>
      <c r="C36" s="155">
        <f t="shared" si="1"/>
        <v>107699</v>
      </c>
      <c r="D36" s="156"/>
      <c r="E36" s="22" t="s">
        <v>115</v>
      </c>
      <c r="F36" s="34" t="s">
        <v>140</v>
      </c>
      <c r="G36" s="157">
        <v>107699</v>
      </c>
      <c r="H36" s="158"/>
    </row>
    <row r="37" spans="1:8" x14ac:dyDescent="0.5">
      <c r="A37" s="31"/>
      <c r="B37" s="22"/>
      <c r="C37" s="157">
        <f t="shared" si="1"/>
        <v>3939.09</v>
      </c>
      <c r="D37" s="158"/>
      <c r="E37" s="22" t="s">
        <v>15</v>
      </c>
      <c r="F37" s="34" t="s">
        <v>181</v>
      </c>
      <c r="G37" s="157">
        <v>3939.09</v>
      </c>
      <c r="H37" s="158"/>
    </row>
    <row r="38" spans="1:8" s="22" customFormat="1" x14ac:dyDescent="0.5">
      <c r="A38" s="31"/>
      <c r="C38" s="155"/>
      <c r="D38" s="156"/>
      <c r="E38" s="22" t="s">
        <v>111</v>
      </c>
      <c r="F38" s="34" t="s">
        <v>75</v>
      </c>
      <c r="G38" s="157">
        <v>0</v>
      </c>
      <c r="H38" s="158"/>
    </row>
    <row r="39" spans="1:8" s="22" customFormat="1" x14ac:dyDescent="0.5">
      <c r="A39" s="31"/>
      <c r="C39" s="155"/>
      <c r="D39" s="156"/>
      <c r="E39" s="22" t="s">
        <v>92</v>
      </c>
      <c r="F39" s="34" t="s">
        <v>93</v>
      </c>
      <c r="G39" s="157"/>
      <c r="H39" s="158"/>
    </row>
    <row r="40" spans="1:8" s="22" customFormat="1" x14ac:dyDescent="0.5">
      <c r="A40" s="31"/>
      <c r="C40" s="155">
        <f>G40</f>
        <v>0</v>
      </c>
      <c r="D40" s="156"/>
      <c r="E40" s="22" t="s">
        <v>170</v>
      </c>
      <c r="F40" s="34" t="s">
        <v>128</v>
      </c>
      <c r="G40" s="157"/>
      <c r="H40" s="158"/>
    </row>
    <row r="41" spans="1:8" s="22" customFormat="1" x14ac:dyDescent="0.5">
      <c r="A41" s="31"/>
      <c r="C41" s="181">
        <f>SUM(C21:C40)</f>
        <v>597241.34</v>
      </c>
      <c r="D41" s="182"/>
      <c r="F41" s="34"/>
      <c r="G41" s="183">
        <f>SUM(G21:G40)</f>
        <v>597241.34</v>
      </c>
      <c r="H41" s="184"/>
    </row>
    <row r="42" spans="1:8" ht="24" thickBot="1" x14ac:dyDescent="0.55000000000000004">
      <c r="A42" s="31"/>
      <c r="C42" s="163">
        <f>C19+C41</f>
        <v>3585142.17</v>
      </c>
      <c r="D42" s="164"/>
      <c r="E42" s="78" t="s">
        <v>35</v>
      </c>
      <c r="F42" s="30"/>
      <c r="G42" s="163">
        <f>G19+G41</f>
        <v>3585142.17</v>
      </c>
      <c r="H42" s="164"/>
    </row>
    <row r="43" spans="1:8" ht="24" thickTop="1" x14ac:dyDescent="0.5"/>
    <row r="44" spans="1:8" x14ac:dyDescent="0.5">
      <c r="A44" s="170" t="s">
        <v>95</v>
      </c>
      <c r="B44" s="170"/>
      <c r="C44" s="170"/>
      <c r="D44" s="170"/>
      <c r="E44" s="170"/>
      <c r="F44" s="170"/>
      <c r="G44" s="170"/>
      <c r="H44" s="170"/>
    </row>
    <row r="45" spans="1:8" x14ac:dyDescent="0.5">
      <c r="A45" s="170" t="s">
        <v>147</v>
      </c>
      <c r="B45" s="170"/>
      <c r="C45" s="170"/>
      <c r="D45" s="170"/>
      <c r="E45" s="170"/>
      <c r="F45" s="170"/>
      <c r="G45" s="170"/>
      <c r="H45" s="170"/>
    </row>
    <row r="46" spans="1:8" x14ac:dyDescent="0.5">
      <c r="A46" s="19"/>
      <c r="B46" s="1"/>
      <c r="C46" s="1"/>
      <c r="D46" s="1"/>
      <c r="E46" s="1"/>
      <c r="F46" s="171" t="s">
        <v>199</v>
      </c>
      <c r="G46" s="171"/>
      <c r="H46" s="171"/>
    </row>
    <row r="47" spans="1:8" x14ac:dyDescent="0.5">
      <c r="A47" s="170" t="s">
        <v>17</v>
      </c>
      <c r="B47" s="170"/>
      <c r="C47" s="170"/>
      <c r="D47" s="170"/>
      <c r="E47" s="170"/>
      <c r="F47" s="170"/>
      <c r="G47" s="170"/>
      <c r="H47" s="170"/>
    </row>
    <row r="48" spans="1:8" ht="24" thickBot="1" x14ac:dyDescent="0.55000000000000004">
      <c r="A48" s="59"/>
      <c r="B48" s="27"/>
      <c r="C48" s="27"/>
      <c r="D48" s="27"/>
      <c r="E48" s="27"/>
      <c r="F48" s="174" t="s">
        <v>201</v>
      </c>
      <c r="G48" s="174"/>
      <c r="H48" s="174"/>
    </row>
    <row r="49" spans="1:8" ht="24" thickTop="1" x14ac:dyDescent="0.5">
      <c r="A49" s="175" t="s">
        <v>18</v>
      </c>
      <c r="B49" s="175"/>
      <c r="C49" s="175"/>
      <c r="D49" s="175"/>
      <c r="E49" s="25"/>
      <c r="F49" s="175" t="s">
        <v>19</v>
      </c>
      <c r="G49" s="175"/>
      <c r="H49" s="175"/>
    </row>
    <row r="50" spans="1:8" x14ac:dyDescent="0.5">
      <c r="A50" s="176" t="s">
        <v>20</v>
      </c>
      <c r="B50" s="177"/>
      <c r="C50" s="178" t="s">
        <v>22</v>
      </c>
      <c r="D50" s="178"/>
      <c r="E50" s="179" t="s">
        <v>0</v>
      </c>
      <c r="F50" s="90" t="s">
        <v>23</v>
      </c>
      <c r="G50" s="176" t="s">
        <v>22</v>
      </c>
      <c r="H50" s="177"/>
    </row>
    <row r="51" spans="1:8" ht="24" thickBot="1" x14ac:dyDescent="0.55000000000000004">
      <c r="A51" s="167" t="s">
        <v>21</v>
      </c>
      <c r="B51" s="168"/>
      <c r="C51" s="169" t="s">
        <v>21</v>
      </c>
      <c r="D51" s="169"/>
      <c r="E51" s="180"/>
      <c r="F51" s="91" t="s">
        <v>24</v>
      </c>
      <c r="G51" s="167" t="s">
        <v>21</v>
      </c>
      <c r="H51" s="168"/>
    </row>
    <row r="52" spans="1:8" ht="24" thickTop="1" x14ac:dyDescent="0.5">
      <c r="A52" s="18"/>
      <c r="B52" s="25"/>
      <c r="C52" s="172">
        <f>C9</f>
        <v>53744181.479999997</v>
      </c>
      <c r="D52" s="173"/>
      <c r="E52" s="14" t="s">
        <v>25</v>
      </c>
      <c r="F52" s="28"/>
      <c r="G52" s="172">
        <f>'ใบต่อ  57'!G44:H44</f>
        <v>53259235.899999999</v>
      </c>
      <c r="H52" s="173"/>
    </row>
    <row r="53" spans="1:8" x14ac:dyDescent="0.5">
      <c r="A53" s="8"/>
      <c r="B53" s="6"/>
      <c r="C53" s="161"/>
      <c r="D53" s="162"/>
      <c r="E53" s="14" t="s">
        <v>186</v>
      </c>
      <c r="F53" s="29" t="s">
        <v>71</v>
      </c>
      <c r="G53" s="161"/>
      <c r="H53" s="162"/>
    </row>
    <row r="54" spans="1:8" x14ac:dyDescent="0.5">
      <c r="A54" s="8">
        <v>3565000</v>
      </c>
      <c r="B54" s="5" t="s">
        <v>16</v>
      </c>
      <c r="C54" s="161">
        <f>C11+G54</f>
        <v>16790</v>
      </c>
      <c r="D54" s="162"/>
      <c r="E54" s="14" t="s">
        <v>26</v>
      </c>
      <c r="F54" s="29" t="s">
        <v>77</v>
      </c>
      <c r="G54" s="161">
        <f>9250+1600+2436</f>
        <v>13286</v>
      </c>
      <c r="H54" s="162"/>
    </row>
    <row r="55" spans="1:8" x14ac:dyDescent="0.5">
      <c r="A55" s="8">
        <v>1135000</v>
      </c>
      <c r="B55" s="5" t="s">
        <v>16</v>
      </c>
      <c r="C55" s="161">
        <f t="shared" ref="C55:C61" si="2">C12+G55</f>
        <v>152186</v>
      </c>
      <c r="D55" s="162"/>
      <c r="E55" s="14" t="s">
        <v>27</v>
      </c>
      <c r="F55" s="29" t="s">
        <v>78</v>
      </c>
      <c r="G55" s="161">
        <f>320+43180+7300+2510+11840+550+13800+2516+75</f>
        <v>82091</v>
      </c>
      <c r="H55" s="162"/>
    </row>
    <row r="56" spans="1:8" x14ac:dyDescent="0.5">
      <c r="A56" s="8">
        <v>401000</v>
      </c>
      <c r="B56" s="5" t="s">
        <v>16</v>
      </c>
      <c r="C56" s="161">
        <f t="shared" si="2"/>
        <v>45000</v>
      </c>
      <c r="D56" s="162"/>
      <c r="E56" s="14" t="s">
        <v>28</v>
      </c>
      <c r="F56" s="29" t="s">
        <v>79</v>
      </c>
      <c r="G56" s="161">
        <f>15000</f>
        <v>15000</v>
      </c>
      <c r="H56" s="162"/>
    </row>
    <row r="57" spans="1:8" x14ac:dyDescent="0.5">
      <c r="A57" s="8">
        <v>1000</v>
      </c>
      <c r="B57" s="5" t="s">
        <v>16</v>
      </c>
      <c r="C57" s="161">
        <f t="shared" si="2"/>
        <v>0</v>
      </c>
      <c r="D57" s="162"/>
      <c r="E57" s="14" t="s">
        <v>29</v>
      </c>
      <c r="F57" s="29" t="s">
        <v>81</v>
      </c>
      <c r="G57" s="161"/>
      <c r="H57" s="162"/>
    </row>
    <row r="58" spans="1:8" x14ac:dyDescent="0.5">
      <c r="A58" s="8">
        <v>152000</v>
      </c>
      <c r="B58" s="5" t="s">
        <v>16</v>
      </c>
      <c r="C58" s="161">
        <f t="shared" si="2"/>
        <v>8480</v>
      </c>
      <c r="D58" s="162"/>
      <c r="E58" s="14" t="s">
        <v>30</v>
      </c>
      <c r="F58" s="29" t="s">
        <v>80</v>
      </c>
      <c r="G58" s="161">
        <f>28+428+1160</f>
        <v>1616</v>
      </c>
      <c r="H58" s="162"/>
    </row>
    <row r="59" spans="1:8" x14ac:dyDescent="0.5">
      <c r="A59" s="2">
        <v>1000</v>
      </c>
      <c r="B59" s="5"/>
      <c r="C59" s="161">
        <f t="shared" si="2"/>
        <v>0</v>
      </c>
      <c r="D59" s="162"/>
      <c r="E59" s="14" t="s">
        <v>31</v>
      </c>
      <c r="F59" s="29" t="s">
        <v>82</v>
      </c>
      <c r="G59" s="161"/>
      <c r="H59" s="162"/>
    </row>
    <row r="60" spans="1:8" x14ac:dyDescent="0.5">
      <c r="A60" s="8">
        <v>54205000</v>
      </c>
      <c r="B60" s="5" t="s">
        <v>16</v>
      </c>
      <c r="C60" s="161">
        <f t="shared" si="2"/>
        <v>11086973.949999999</v>
      </c>
      <c r="D60" s="162"/>
      <c r="E60" s="14" t="s">
        <v>32</v>
      </c>
      <c r="F60" s="29" t="s">
        <v>83</v>
      </c>
      <c r="G60" s="161">
        <f>5787724.55+895438.91+529447.14+576113.52+420812</f>
        <v>8209536.1199999992</v>
      </c>
      <c r="H60" s="162"/>
    </row>
    <row r="61" spans="1:8" x14ac:dyDescent="0.5">
      <c r="A61" s="8">
        <v>27386000</v>
      </c>
      <c r="B61" s="5" t="s">
        <v>16</v>
      </c>
      <c r="C61" s="161">
        <f t="shared" si="2"/>
        <v>0</v>
      </c>
      <c r="D61" s="162"/>
      <c r="E61" s="14" t="s">
        <v>13</v>
      </c>
      <c r="F61" s="29" t="s">
        <v>84</v>
      </c>
      <c r="G61" s="161">
        <v>0</v>
      </c>
      <c r="H61" s="162"/>
    </row>
    <row r="62" spans="1:8" ht="24" thickBot="1" x14ac:dyDescent="0.55000000000000004">
      <c r="A62" s="64">
        <f>SUM(A54:A61)</f>
        <v>86846000</v>
      </c>
      <c r="B62" s="60" t="s">
        <v>16</v>
      </c>
      <c r="C62" s="163">
        <f>SUM(C54:C61)</f>
        <v>11309429.949999999</v>
      </c>
      <c r="D62" s="164"/>
      <c r="F62" s="29"/>
      <c r="G62" s="163">
        <f>SUM(G54:G61)</f>
        <v>8321529.1199999992</v>
      </c>
      <c r="H62" s="164"/>
    </row>
    <row r="63" spans="1:8" ht="24" thickTop="1" x14ac:dyDescent="0.5">
      <c r="A63" s="31"/>
      <c r="B63" s="22"/>
      <c r="C63" s="165"/>
      <c r="D63" s="166"/>
      <c r="E63" s="43" t="s">
        <v>134</v>
      </c>
      <c r="F63" s="34"/>
      <c r="G63" s="165">
        <v>0</v>
      </c>
      <c r="H63" s="166"/>
    </row>
    <row r="64" spans="1:8" x14ac:dyDescent="0.5">
      <c r="A64" s="31"/>
      <c r="B64" s="22"/>
      <c r="C64" s="155">
        <f>G64</f>
        <v>7060200</v>
      </c>
      <c r="D64" s="156"/>
      <c r="E64" s="22" t="s">
        <v>155</v>
      </c>
      <c r="F64" s="34"/>
      <c r="G64" s="155">
        <v>7060200</v>
      </c>
      <c r="H64" s="156"/>
    </row>
    <row r="65" spans="1:8" x14ac:dyDescent="0.5">
      <c r="A65" s="31"/>
      <c r="B65" s="22"/>
      <c r="C65" s="155"/>
      <c r="D65" s="156"/>
      <c r="E65" s="22" t="s">
        <v>156</v>
      </c>
      <c r="F65" s="34"/>
      <c r="G65" s="155"/>
      <c r="H65" s="156"/>
    </row>
    <row r="66" spans="1:8" x14ac:dyDescent="0.5">
      <c r="A66" s="31"/>
      <c r="B66" s="22"/>
      <c r="C66" s="155"/>
      <c r="D66" s="156"/>
      <c r="E66" s="43" t="s">
        <v>135</v>
      </c>
      <c r="F66" s="34"/>
      <c r="G66" s="157"/>
      <c r="H66" s="158"/>
    </row>
    <row r="67" spans="1:8" x14ac:dyDescent="0.5">
      <c r="A67" s="31"/>
      <c r="B67" s="22"/>
      <c r="C67" s="155"/>
      <c r="D67" s="156"/>
      <c r="E67" s="22" t="s">
        <v>157</v>
      </c>
      <c r="F67" s="34"/>
      <c r="G67" s="155"/>
      <c r="H67" s="156"/>
    </row>
    <row r="68" spans="1:8" x14ac:dyDescent="0.5">
      <c r="A68" s="31"/>
      <c r="B68" s="22"/>
      <c r="C68" s="155"/>
      <c r="D68" s="156"/>
      <c r="E68" s="22" t="s">
        <v>158</v>
      </c>
      <c r="F68" s="34"/>
      <c r="G68" s="155"/>
      <c r="H68" s="156"/>
    </row>
    <row r="69" spans="1:8" x14ac:dyDescent="0.5">
      <c r="A69" s="31"/>
      <c r="B69" s="22"/>
      <c r="C69" s="155"/>
      <c r="D69" s="156"/>
      <c r="E69" s="22" t="s">
        <v>160</v>
      </c>
      <c r="F69" s="34"/>
      <c r="G69" s="155"/>
      <c r="H69" s="156"/>
    </row>
    <row r="70" spans="1:8" x14ac:dyDescent="0.5">
      <c r="A70" s="31"/>
      <c r="B70" s="22"/>
      <c r="C70" s="155">
        <f>G70</f>
        <v>489780</v>
      </c>
      <c r="D70" s="156"/>
      <c r="E70" s="22" t="s">
        <v>176</v>
      </c>
      <c r="F70" s="34"/>
      <c r="G70" s="155">
        <v>489780</v>
      </c>
      <c r="H70" s="156"/>
    </row>
    <row r="71" spans="1:8" x14ac:dyDescent="0.5">
      <c r="A71" s="31"/>
      <c r="B71" s="22"/>
      <c r="C71" s="155">
        <f>C28+G71</f>
        <v>926756.59</v>
      </c>
      <c r="D71" s="156"/>
      <c r="E71" s="22" t="s">
        <v>33</v>
      </c>
      <c r="F71" s="34" t="s">
        <v>74</v>
      </c>
      <c r="G71" s="157">
        <f>'รายละเอียด(หมายเหตุ2)'!D55</f>
        <v>448135.33999999997</v>
      </c>
      <c r="H71" s="158"/>
    </row>
    <row r="72" spans="1:8" x14ac:dyDescent="0.5">
      <c r="A72" s="31"/>
      <c r="B72" s="22"/>
      <c r="C72" s="155">
        <f t="shared" ref="C72:C83" si="3">C29+G72</f>
        <v>48668</v>
      </c>
      <c r="D72" s="156"/>
      <c r="E72" s="22" t="s">
        <v>34</v>
      </c>
      <c r="F72" s="34" t="s">
        <v>61</v>
      </c>
      <c r="G72" s="157">
        <v>42000</v>
      </c>
      <c r="H72" s="158"/>
    </row>
    <row r="73" spans="1:8" x14ac:dyDescent="0.5">
      <c r="A73" s="31"/>
      <c r="B73" s="22"/>
      <c r="C73" s="155">
        <f t="shared" si="3"/>
        <v>1400</v>
      </c>
      <c r="D73" s="156"/>
      <c r="E73" s="22" t="s">
        <v>56</v>
      </c>
      <c r="F73" s="34" t="s">
        <v>60</v>
      </c>
      <c r="G73" s="157">
        <v>1400</v>
      </c>
      <c r="H73" s="158"/>
    </row>
    <row r="74" spans="1:8" x14ac:dyDescent="0.5">
      <c r="A74" s="31"/>
      <c r="B74" s="22"/>
      <c r="C74" s="155">
        <f t="shared" si="3"/>
        <v>0</v>
      </c>
      <c r="D74" s="156"/>
      <c r="E74" s="22" t="s">
        <v>137</v>
      </c>
      <c r="F74" s="34" t="s">
        <v>141</v>
      </c>
      <c r="G74" s="157"/>
      <c r="H74" s="158"/>
    </row>
    <row r="75" spans="1:8" x14ac:dyDescent="0.5">
      <c r="A75" s="31"/>
      <c r="B75" s="22"/>
      <c r="C75" s="155">
        <f t="shared" si="3"/>
        <v>0</v>
      </c>
      <c r="D75" s="156"/>
      <c r="E75" s="22" t="s">
        <v>102</v>
      </c>
      <c r="F75" s="34" t="s">
        <v>142</v>
      </c>
      <c r="G75" s="157"/>
      <c r="H75" s="158"/>
    </row>
    <row r="76" spans="1:8" x14ac:dyDescent="0.5">
      <c r="A76" s="31"/>
      <c r="B76" s="22"/>
      <c r="C76" s="155">
        <f t="shared" si="3"/>
        <v>114</v>
      </c>
      <c r="D76" s="156"/>
      <c r="E76" s="22" t="s">
        <v>138</v>
      </c>
      <c r="F76" s="34" t="s">
        <v>143</v>
      </c>
      <c r="G76" s="157"/>
      <c r="H76" s="158"/>
    </row>
    <row r="77" spans="1:8" x14ac:dyDescent="0.5">
      <c r="A77" s="31"/>
      <c r="B77" s="22"/>
      <c r="C77" s="155">
        <f t="shared" si="3"/>
        <v>200</v>
      </c>
      <c r="D77" s="156"/>
      <c r="E77" s="22" t="s">
        <v>125</v>
      </c>
      <c r="F77" s="34" t="s">
        <v>144</v>
      </c>
      <c r="G77" s="157"/>
      <c r="H77" s="158"/>
    </row>
    <row r="78" spans="1:8" x14ac:dyDescent="0.5">
      <c r="A78" s="31"/>
      <c r="B78" s="22"/>
      <c r="C78" s="155">
        <f t="shared" si="3"/>
        <v>2100</v>
      </c>
      <c r="D78" s="156"/>
      <c r="E78" s="22" t="s">
        <v>202</v>
      </c>
      <c r="F78" s="34" t="s">
        <v>146</v>
      </c>
      <c r="G78" s="157">
        <v>2100</v>
      </c>
      <c r="H78" s="158"/>
    </row>
    <row r="79" spans="1:8" x14ac:dyDescent="0.5">
      <c r="A79" s="31"/>
      <c r="B79" s="22"/>
      <c r="C79" s="155">
        <f t="shared" si="3"/>
        <v>427699</v>
      </c>
      <c r="D79" s="156"/>
      <c r="E79" s="22" t="s">
        <v>115</v>
      </c>
      <c r="F79" s="34" t="s">
        <v>140</v>
      </c>
      <c r="G79" s="157">
        <v>320000</v>
      </c>
      <c r="H79" s="158"/>
    </row>
    <row r="80" spans="1:8" x14ac:dyDescent="0.5">
      <c r="A80" s="31"/>
      <c r="B80" s="22"/>
      <c r="C80" s="155">
        <f t="shared" si="3"/>
        <v>3939.09</v>
      </c>
      <c r="D80" s="156"/>
      <c r="E80" s="22" t="s">
        <v>15</v>
      </c>
      <c r="F80" s="34" t="s">
        <v>181</v>
      </c>
      <c r="G80" s="157"/>
      <c r="H80" s="158"/>
    </row>
    <row r="81" spans="1:8" x14ac:dyDescent="0.5">
      <c r="A81" s="31"/>
      <c r="B81" s="22"/>
      <c r="C81" s="155">
        <f t="shared" si="3"/>
        <v>0</v>
      </c>
      <c r="D81" s="156"/>
      <c r="E81" s="22" t="s">
        <v>111</v>
      </c>
      <c r="F81" s="34" t="s">
        <v>75</v>
      </c>
      <c r="G81" s="157">
        <v>0</v>
      </c>
      <c r="H81" s="158"/>
    </row>
    <row r="82" spans="1:8" x14ac:dyDescent="0.5">
      <c r="A82" s="31"/>
      <c r="B82" s="22"/>
      <c r="C82" s="155">
        <f t="shared" si="3"/>
        <v>0</v>
      </c>
      <c r="D82" s="156"/>
      <c r="E82" s="22" t="s">
        <v>92</v>
      </c>
      <c r="F82" s="34" t="s">
        <v>93</v>
      </c>
      <c r="G82" s="157"/>
      <c r="H82" s="158"/>
    </row>
    <row r="83" spans="1:8" x14ac:dyDescent="0.5">
      <c r="A83" s="31"/>
      <c r="B83" s="22"/>
      <c r="C83" s="155">
        <f t="shared" si="3"/>
        <v>0</v>
      </c>
      <c r="D83" s="156"/>
      <c r="E83" s="22" t="s">
        <v>170</v>
      </c>
      <c r="F83" s="34" t="s">
        <v>128</v>
      </c>
      <c r="G83" s="157"/>
      <c r="H83" s="158"/>
    </row>
    <row r="84" spans="1:8" x14ac:dyDescent="0.5">
      <c r="A84" s="31"/>
      <c r="B84" s="22"/>
      <c r="C84" s="181">
        <f>SUM(C64:C83)</f>
        <v>8960856.6799999997</v>
      </c>
      <c r="D84" s="182"/>
      <c r="E84" s="22"/>
      <c r="F84" s="34"/>
      <c r="G84" s="183">
        <f>SUM(G64:G83)</f>
        <v>8363615.3399999999</v>
      </c>
      <c r="H84" s="184"/>
    </row>
    <row r="85" spans="1:8" ht="24" thickBot="1" x14ac:dyDescent="0.55000000000000004">
      <c r="A85" s="31"/>
      <c r="C85" s="163">
        <f>C62+C84</f>
        <v>20270286.629999999</v>
      </c>
      <c r="D85" s="164"/>
      <c r="E85" s="89" t="s">
        <v>35</v>
      </c>
      <c r="F85" s="30"/>
      <c r="G85" s="163">
        <f>G62+G84</f>
        <v>16685144.459999999</v>
      </c>
      <c r="H85" s="164"/>
    </row>
    <row r="86" spans="1:8" ht="24" thickTop="1" x14ac:dyDescent="0.5">
      <c r="A86" s="170" t="s">
        <v>95</v>
      </c>
      <c r="B86" s="170"/>
      <c r="C86" s="170"/>
      <c r="D86" s="170"/>
      <c r="E86" s="170"/>
      <c r="F86" s="170"/>
      <c r="G86" s="170"/>
      <c r="H86" s="170"/>
    </row>
    <row r="87" spans="1:8" x14ac:dyDescent="0.5">
      <c r="A87" s="170" t="s">
        <v>147</v>
      </c>
      <c r="B87" s="170"/>
      <c r="C87" s="170"/>
      <c r="D87" s="170"/>
      <c r="E87" s="170"/>
      <c r="F87" s="170"/>
      <c r="G87" s="170"/>
      <c r="H87" s="170"/>
    </row>
    <row r="88" spans="1:8" x14ac:dyDescent="0.5">
      <c r="A88" s="19"/>
      <c r="B88" s="1"/>
      <c r="C88" s="1"/>
      <c r="D88" s="1"/>
      <c r="E88" s="1"/>
      <c r="F88" s="171" t="s">
        <v>199</v>
      </c>
      <c r="G88" s="171"/>
      <c r="H88" s="171"/>
    </row>
    <row r="89" spans="1:8" x14ac:dyDescent="0.5">
      <c r="A89" s="170" t="s">
        <v>17</v>
      </c>
      <c r="B89" s="170"/>
      <c r="C89" s="170"/>
      <c r="D89" s="170"/>
      <c r="E89" s="170"/>
      <c r="F89" s="170"/>
      <c r="G89" s="170"/>
      <c r="H89" s="170"/>
    </row>
    <row r="90" spans="1:8" ht="24" thickBot="1" x14ac:dyDescent="0.55000000000000004">
      <c r="A90" s="59"/>
      <c r="B90" s="27"/>
      <c r="C90" s="27"/>
      <c r="D90" s="27"/>
      <c r="E90" s="27"/>
      <c r="F90" s="174" t="s">
        <v>211</v>
      </c>
      <c r="G90" s="174"/>
      <c r="H90" s="174"/>
    </row>
    <row r="91" spans="1:8" ht="24" thickTop="1" x14ac:dyDescent="0.5">
      <c r="A91" s="175" t="s">
        <v>18</v>
      </c>
      <c r="B91" s="175"/>
      <c r="C91" s="175"/>
      <c r="D91" s="175"/>
      <c r="E91" s="25"/>
      <c r="F91" s="175" t="s">
        <v>19</v>
      </c>
      <c r="G91" s="175"/>
      <c r="H91" s="175"/>
    </row>
    <row r="92" spans="1:8" x14ac:dyDescent="0.5">
      <c r="A92" s="176" t="s">
        <v>20</v>
      </c>
      <c r="B92" s="177"/>
      <c r="C92" s="178" t="s">
        <v>22</v>
      </c>
      <c r="D92" s="178"/>
      <c r="E92" s="179" t="s">
        <v>0</v>
      </c>
      <c r="F92" s="79" t="s">
        <v>23</v>
      </c>
      <c r="G92" s="176" t="s">
        <v>22</v>
      </c>
      <c r="H92" s="177"/>
    </row>
    <row r="93" spans="1:8" ht="24" thickBot="1" x14ac:dyDescent="0.55000000000000004">
      <c r="A93" s="167" t="s">
        <v>21</v>
      </c>
      <c r="B93" s="168"/>
      <c r="C93" s="169" t="s">
        <v>21</v>
      </c>
      <c r="D93" s="169"/>
      <c r="E93" s="180"/>
      <c r="F93" s="80" t="s">
        <v>24</v>
      </c>
      <c r="G93" s="167" t="s">
        <v>21</v>
      </c>
      <c r="H93" s="168"/>
    </row>
    <row r="94" spans="1:8" ht="24" thickTop="1" x14ac:dyDescent="0.5">
      <c r="A94" s="18"/>
      <c r="B94" s="25"/>
      <c r="C94" s="172">
        <f>C52</f>
        <v>53744181.479999997</v>
      </c>
      <c r="D94" s="173"/>
      <c r="E94" s="14" t="s">
        <v>25</v>
      </c>
      <c r="F94" s="28"/>
      <c r="G94" s="172">
        <f>'ใบต่อ  57'!G93:H93</f>
        <v>63168176</v>
      </c>
      <c r="H94" s="173"/>
    </row>
    <row r="95" spans="1:8" x14ac:dyDescent="0.5">
      <c r="A95" s="8"/>
      <c r="B95" s="6"/>
      <c r="C95" s="161"/>
      <c r="D95" s="162"/>
      <c r="E95" s="14" t="s">
        <v>43</v>
      </c>
      <c r="F95" s="29" t="s">
        <v>71</v>
      </c>
      <c r="G95" s="161"/>
      <c r="H95" s="162"/>
    </row>
    <row r="96" spans="1:8" x14ac:dyDescent="0.5">
      <c r="A96" s="8">
        <v>3565000</v>
      </c>
      <c r="B96" s="5" t="s">
        <v>16</v>
      </c>
      <c r="C96" s="161">
        <f t="shared" ref="C96:C103" si="4">G96+C54</f>
        <v>37853.360000000001</v>
      </c>
      <c r="D96" s="162"/>
      <c r="E96" s="14" t="s">
        <v>26</v>
      </c>
      <c r="F96" s="29" t="s">
        <v>77</v>
      </c>
      <c r="G96" s="161">
        <v>21063.360000000001</v>
      </c>
      <c r="H96" s="162"/>
    </row>
    <row r="97" spans="1:8" x14ac:dyDescent="0.5">
      <c r="A97" s="8">
        <v>1135000</v>
      </c>
      <c r="B97" s="5" t="s">
        <v>16</v>
      </c>
      <c r="C97" s="161">
        <f t="shared" si="4"/>
        <v>239721</v>
      </c>
      <c r="D97" s="162"/>
      <c r="E97" s="14" t="s">
        <v>27</v>
      </c>
      <c r="F97" s="29" t="s">
        <v>78</v>
      </c>
      <c r="G97" s="161">
        <f>180+56800+1900+20+4840+360+9100+1600+12360+375</f>
        <v>87535</v>
      </c>
      <c r="H97" s="162"/>
    </row>
    <row r="98" spans="1:8" x14ac:dyDescent="0.5">
      <c r="A98" s="8">
        <v>401000</v>
      </c>
      <c r="B98" s="5" t="s">
        <v>16</v>
      </c>
      <c r="C98" s="161">
        <f t="shared" si="4"/>
        <v>107884.84</v>
      </c>
      <c r="D98" s="162"/>
      <c r="E98" s="14" t="s">
        <v>28</v>
      </c>
      <c r="F98" s="29" t="s">
        <v>79</v>
      </c>
      <c r="G98" s="161">
        <f>59884.84+3000</f>
        <v>62884.84</v>
      </c>
      <c r="H98" s="162"/>
    </row>
    <row r="99" spans="1:8" x14ac:dyDescent="0.5">
      <c r="A99" s="8">
        <v>1000</v>
      </c>
      <c r="B99" s="5" t="s">
        <v>16</v>
      </c>
      <c r="C99" s="161">
        <f t="shared" si="4"/>
        <v>0</v>
      </c>
      <c r="D99" s="162"/>
      <c r="E99" s="14" t="s">
        <v>29</v>
      </c>
      <c r="F99" s="29" t="s">
        <v>81</v>
      </c>
      <c r="G99" s="161"/>
      <c r="H99" s="162"/>
    </row>
    <row r="100" spans="1:8" x14ac:dyDescent="0.5">
      <c r="A100" s="8">
        <v>152000</v>
      </c>
      <c r="B100" s="5" t="s">
        <v>16</v>
      </c>
      <c r="C100" s="161">
        <f t="shared" si="4"/>
        <v>21846</v>
      </c>
      <c r="D100" s="162"/>
      <c r="E100" s="14" t="s">
        <v>30</v>
      </c>
      <c r="F100" s="29" t="s">
        <v>80</v>
      </c>
      <c r="G100" s="161">
        <v>13366</v>
      </c>
      <c r="H100" s="162"/>
    </row>
    <row r="101" spans="1:8" x14ac:dyDescent="0.5">
      <c r="A101" s="2">
        <v>1000</v>
      </c>
      <c r="B101" s="5"/>
      <c r="C101" s="161">
        <f t="shared" si="4"/>
        <v>0</v>
      </c>
      <c r="D101" s="162"/>
      <c r="E101" s="14" t="s">
        <v>31</v>
      </c>
      <c r="F101" s="29" t="s">
        <v>82</v>
      </c>
      <c r="G101" s="161"/>
      <c r="H101" s="162"/>
    </row>
    <row r="102" spans="1:8" x14ac:dyDescent="0.5">
      <c r="A102" s="8">
        <v>54205000</v>
      </c>
      <c r="B102" s="5" t="s">
        <v>16</v>
      </c>
      <c r="C102" s="161">
        <f t="shared" si="4"/>
        <v>14611028.939999999</v>
      </c>
      <c r="D102" s="162"/>
      <c r="E102" s="14" t="s">
        <v>32</v>
      </c>
      <c r="F102" s="29" t="s">
        <v>83</v>
      </c>
      <c r="G102" s="161">
        <f>2760272.99+763782</f>
        <v>3524054.99</v>
      </c>
      <c r="H102" s="162"/>
    </row>
    <row r="103" spans="1:8" x14ac:dyDescent="0.5">
      <c r="A103" s="8">
        <v>27386000</v>
      </c>
      <c r="B103" s="5" t="s">
        <v>16</v>
      </c>
      <c r="C103" s="161">
        <f t="shared" si="4"/>
        <v>26395314</v>
      </c>
      <c r="D103" s="162"/>
      <c r="E103" s="14" t="s">
        <v>13</v>
      </c>
      <c r="F103" s="29" t="s">
        <v>84</v>
      </c>
      <c r="G103" s="161">
        <v>26395314</v>
      </c>
      <c r="H103" s="162"/>
    </row>
    <row r="104" spans="1:8" ht="24" thickBot="1" x14ac:dyDescent="0.55000000000000004">
      <c r="A104" s="64">
        <f>SUM(A96:A103)</f>
        <v>86846000</v>
      </c>
      <c r="B104" s="60" t="s">
        <v>16</v>
      </c>
      <c r="C104" s="163">
        <f>SUM(C96:C103)</f>
        <v>41413648.140000001</v>
      </c>
      <c r="D104" s="164"/>
      <c r="F104" s="29"/>
      <c r="G104" s="163">
        <f>SUM(G96:G103)</f>
        <v>30104218.190000001</v>
      </c>
      <c r="H104" s="164"/>
    </row>
    <row r="105" spans="1:8" ht="24" thickTop="1" x14ac:dyDescent="0.5">
      <c r="A105" s="31"/>
      <c r="B105" s="22"/>
      <c r="C105" s="165"/>
      <c r="D105" s="166"/>
      <c r="E105" s="43" t="s">
        <v>134</v>
      </c>
      <c r="F105" s="34"/>
      <c r="G105" s="165">
        <v>0</v>
      </c>
      <c r="H105" s="166"/>
    </row>
    <row r="106" spans="1:8" x14ac:dyDescent="0.5">
      <c r="A106" s="31"/>
      <c r="B106" s="22"/>
      <c r="C106" s="155">
        <f>C64+G106</f>
        <v>7060200</v>
      </c>
      <c r="D106" s="156"/>
      <c r="E106" s="22" t="s">
        <v>155</v>
      </c>
      <c r="F106" s="34"/>
      <c r="G106" s="155">
        <v>0</v>
      </c>
      <c r="H106" s="156"/>
    </row>
    <row r="107" spans="1:8" x14ac:dyDescent="0.5">
      <c r="A107" s="31"/>
      <c r="B107" s="22"/>
      <c r="C107" s="155">
        <f>C65+G107</f>
        <v>573000</v>
      </c>
      <c r="D107" s="156"/>
      <c r="E107" s="22" t="s">
        <v>156</v>
      </c>
      <c r="F107" s="34"/>
      <c r="G107" s="155">
        <v>573000</v>
      </c>
      <c r="H107" s="156"/>
    </row>
    <row r="108" spans="1:8" x14ac:dyDescent="0.5">
      <c r="A108" s="31"/>
      <c r="B108" s="22"/>
      <c r="C108" s="155"/>
      <c r="D108" s="156"/>
      <c r="E108" s="43" t="s">
        <v>135</v>
      </c>
      <c r="F108" s="34"/>
      <c r="G108" s="157"/>
      <c r="H108" s="158"/>
    </row>
    <row r="109" spans="1:8" x14ac:dyDescent="0.5">
      <c r="A109" s="31"/>
      <c r="B109" s="22"/>
      <c r="C109" s="155">
        <f>C67</f>
        <v>0</v>
      </c>
      <c r="D109" s="156"/>
      <c r="E109" s="22" t="s">
        <v>157</v>
      </c>
      <c r="F109" s="34"/>
      <c r="G109" s="155"/>
      <c r="H109" s="156"/>
    </row>
    <row r="110" spans="1:8" x14ac:dyDescent="0.5">
      <c r="A110" s="31"/>
      <c r="B110" s="22"/>
      <c r="C110" s="155"/>
      <c r="D110" s="156"/>
      <c r="E110" s="22" t="s">
        <v>158</v>
      </c>
      <c r="F110" s="34"/>
      <c r="G110" s="155"/>
      <c r="H110" s="156"/>
    </row>
    <row r="111" spans="1:8" x14ac:dyDescent="0.5">
      <c r="A111" s="31"/>
      <c r="B111" s="22"/>
      <c r="C111" s="155">
        <f>G111</f>
        <v>0</v>
      </c>
      <c r="D111" s="156"/>
      <c r="E111" s="22" t="s">
        <v>160</v>
      </c>
      <c r="F111" s="34"/>
      <c r="G111" s="155"/>
      <c r="H111" s="156"/>
    </row>
    <row r="112" spans="1:8" x14ac:dyDescent="0.5">
      <c r="A112" s="31"/>
      <c r="B112" s="22"/>
      <c r="C112" s="155"/>
      <c r="D112" s="156"/>
      <c r="E112" s="22" t="s">
        <v>159</v>
      </c>
      <c r="F112" s="34"/>
      <c r="G112" s="155"/>
      <c r="H112" s="156"/>
    </row>
    <row r="113" spans="1:8" x14ac:dyDescent="0.5">
      <c r="A113" s="31"/>
      <c r="B113" s="22"/>
      <c r="C113" s="155">
        <f>C70</f>
        <v>489780</v>
      </c>
      <c r="D113" s="156"/>
      <c r="E113" s="22" t="s">
        <v>176</v>
      </c>
      <c r="F113" s="34"/>
      <c r="G113" s="155"/>
      <c r="H113" s="156"/>
    </row>
    <row r="114" spans="1:8" x14ac:dyDescent="0.5">
      <c r="A114" s="31"/>
      <c r="B114" s="22"/>
      <c r="C114" s="155">
        <f>G114+C71</f>
        <v>2574360.87</v>
      </c>
      <c r="D114" s="156"/>
      <c r="E114" s="22" t="s">
        <v>33</v>
      </c>
      <c r="F114" s="34" t="s">
        <v>74</v>
      </c>
      <c r="G114" s="157">
        <f>'รายละเอียด(หมายเหตุ2)'!D92</f>
        <v>1647604.28</v>
      </c>
      <c r="H114" s="158"/>
    </row>
    <row r="115" spans="1:8" x14ac:dyDescent="0.5">
      <c r="A115" s="31"/>
      <c r="B115" s="22"/>
      <c r="C115" s="155">
        <f>C72+G115</f>
        <v>70674</v>
      </c>
      <c r="D115" s="156"/>
      <c r="E115" s="22" t="s">
        <v>34</v>
      </c>
      <c r="F115" s="34" t="s">
        <v>61</v>
      </c>
      <c r="G115" s="157">
        <f>3650+3772+3772+10812</f>
        <v>22006</v>
      </c>
      <c r="H115" s="158"/>
    </row>
    <row r="116" spans="1:8" x14ac:dyDescent="0.5">
      <c r="A116" s="31"/>
      <c r="B116" s="22"/>
      <c r="C116" s="155">
        <f t="shared" ref="C116:C126" si="5">C73+G116</f>
        <v>3579900</v>
      </c>
      <c r="D116" s="156"/>
      <c r="E116" s="22" t="s">
        <v>56</v>
      </c>
      <c r="F116" s="34" t="s">
        <v>60</v>
      </c>
      <c r="G116" s="157">
        <f>1131600+151500+1127700+2000+3200+150000+151500+20110+6890+19500+16800+13100+6210+300+16800+761290</f>
        <v>3578500</v>
      </c>
      <c r="H116" s="158"/>
    </row>
    <row r="117" spans="1:8" x14ac:dyDescent="0.5">
      <c r="A117" s="31"/>
      <c r="B117" s="22"/>
      <c r="C117" s="155">
        <f t="shared" si="5"/>
        <v>0</v>
      </c>
      <c r="D117" s="156"/>
      <c r="E117" s="22" t="s">
        <v>137</v>
      </c>
      <c r="F117" s="34" t="s">
        <v>141</v>
      </c>
      <c r="G117" s="157"/>
      <c r="H117" s="158"/>
    </row>
    <row r="118" spans="1:8" x14ac:dyDescent="0.5">
      <c r="A118" s="31"/>
      <c r="B118" s="22"/>
      <c r="C118" s="155">
        <f t="shared" si="5"/>
        <v>61520</v>
      </c>
      <c r="D118" s="156"/>
      <c r="E118" s="22" t="s">
        <v>102</v>
      </c>
      <c r="F118" s="34" t="s">
        <v>142</v>
      </c>
      <c r="G118" s="157">
        <v>61520</v>
      </c>
      <c r="H118" s="158"/>
    </row>
    <row r="119" spans="1:8" x14ac:dyDescent="0.5">
      <c r="A119" s="31"/>
      <c r="B119" s="22"/>
      <c r="C119" s="155">
        <f t="shared" si="5"/>
        <v>114</v>
      </c>
      <c r="D119" s="156"/>
      <c r="E119" s="22" t="s">
        <v>138</v>
      </c>
      <c r="F119" s="34" t="s">
        <v>143</v>
      </c>
      <c r="G119" s="157"/>
      <c r="H119" s="158"/>
    </row>
    <row r="120" spans="1:8" x14ac:dyDescent="0.5">
      <c r="A120" s="31"/>
      <c r="B120" s="22"/>
      <c r="C120" s="155">
        <f t="shared" si="5"/>
        <v>800</v>
      </c>
      <c r="D120" s="156"/>
      <c r="E120" s="22" t="s">
        <v>125</v>
      </c>
      <c r="F120" s="34" t="s">
        <v>144</v>
      </c>
      <c r="G120" s="157">
        <v>600</v>
      </c>
      <c r="H120" s="158"/>
    </row>
    <row r="121" spans="1:8" x14ac:dyDescent="0.5">
      <c r="A121" s="31"/>
      <c r="B121" s="22"/>
      <c r="C121" s="155">
        <f t="shared" si="5"/>
        <v>2100</v>
      </c>
      <c r="D121" s="156"/>
      <c r="E121" s="22" t="s">
        <v>139</v>
      </c>
      <c r="F121" s="34" t="s">
        <v>146</v>
      </c>
      <c r="G121" s="157"/>
      <c r="H121" s="158"/>
    </row>
    <row r="122" spans="1:8" x14ac:dyDescent="0.5">
      <c r="A122" s="31"/>
      <c r="B122" s="22"/>
      <c r="C122" s="155">
        <f>C79+G122</f>
        <v>569139</v>
      </c>
      <c r="D122" s="156"/>
      <c r="E122" s="22" t="s">
        <v>115</v>
      </c>
      <c r="F122" s="34" t="s">
        <v>140</v>
      </c>
      <c r="G122" s="157">
        <v>141440</v>
      </c>
      <c r="H122" s="158"/>
    </row>
    <row r="123" spans="1:8" x14ac:dyDescent="0.5">
      <c r="A123" s="31"/>
      <c r="B123" s="22"/>
      <c r="C123" s="155">
        <f t="shared" si="5"/>
        <v>3939.09</v>
      </c>
      <c r="D123" s="156"/>
      <c r="E123" s="22" t="s">
        <v>174</v>
      </c>
      <c r="F123" s="34"/>
      <c r="G123" s="159">
        <v>0</v>
      </c>
      <c r="H123" s="160"/>
    </row>
    <row r="124" spans="1:8" x14ac:dyDescent="0.5">
      <c r="A124" s="31"/>
      <c r="B124" s="22"/>
      <c r="C124" s="155">
        <f t="shared" si="5"/>
        <v>0</v>
      </c>
      <c r="D124" s="156"/>
      <c r="E124" s="22" t="s">
        <v>111</v>
      </c>
      <c r="F124" s="34" t="s">
        <v>75</v>
      </c>
      <c r="G124" s="157">
        <v>0</v>
      </c>
      <c r="H124" s="158"/>
    </row>
    <row r="125" spans="1:8" x14ac:dyDescent="0.5">
      <c r="A125" s="31"/>
      <c r="B125" s="22"/>
      <c r="C125" s="155">
        <f t="shared" si="5"/>
        <v>0</v>
      </c>
      <c r="D125" s="156"/>
      <c r="E125" s="22" t="s">
        <v>92</v>
      </c>
      <c r="F125" s="34" t="s">
        <v>93</v>
      </c>
      <c r="G125" s="157"/>
      <c r="H125" s="158"/>
    </row>
    <row r="126" spans="1:8" x14ac:dyDescent="0.5">
      <c r="A126" s="31"/>
      <c r="B126" s="22"/>
      <c r="C126" s="155">
        <f t="shared" si="5"/>
        <v>1194.8399999999999</v>
      </c>
      <c r="D126" s="156"/>
      <c r="E126" s="22" t="s">
        <v>15</v>
      </c>
      <c r="F126" s="34" t="s">
        <v>181</v>
      </c>
      <c r="G126" s="157">
        <v>1194.8399999999999</v>
      </c>
      <c r="H126" s="158"/>
    </row>
    <row r="127" spans="1:8" x14ac:dyDescent="0.5">
      <c r="A127" s="31"/>
      <c r="B127" s="22"/>
      <c r="C127" s="155"/>
      <c r="D127" s="156"/>
      <c r="E127" s="22" t="s">
        <v>170</v>
      </c>
      <c r="F127" s="34" t="s">
        <v>128</v>
      </c>
      <c r="G127" s="157">
        <v>0</v>
      </c>
      <c r="H127" s="158"/>
    </row>
    <row r="128" spans="1:8" x14ac:dyDescent="0.5">
      <c r="A128" s="31"/>
      <c r="B128" s="22"/>
      <c r="C128" s="181">
        <f>SUM(C106:C127)</f>
        <v>14986721.800000001</v>
      </c>
      <c r="D128" s="182"/>
      <c r="E128" s="22"/>
      <c r="F128" s="34"/>
      <c r="G128" s="183">
        <f>SUM(G106:G127)</f>
        <v>6025865.1200000001</v>
      </c>
      <c r="H128" s="184"/>
    </row>
    <row r="129" spans="1:8" ht="24" thickBot="1" x14ac:dyDescent="0.55000000000000004">
      <c r="A129" s="31"/>
      <c r="C129" s="163">
        <f>C104+C128</f>
        <v>56400369.939999998</v>
      </c>
      <c r="D129" s="164"/>
      <c r="E129" s="78" t="s">
        <v>35</v>
      </c>
      <c r="F129" s="30"/>
      <c r="G129" s="163">
        <f>G104+G128</f>
        <v>36130083.310000002</v>
      </c>
      <c r="H129" s="164"/>
    </row>
    <row r="130" spans="1:8" ht="24" thickTop="1" x14ac:dyDescent="0.5">
      <c r="A130" s="170" t="s">
        <v>95</v>
      </c>
      <c r="B130" s="170"/>
      <c r="C130" s="170"/>
      <c r="D130" s="170"/>
      <c r="E130" s="170"/>
      <c r="F130" s="170"/>
      <c r="G130" s="170"/>
      <c r="H130" s="170"/>
    </row>
    <row r="131" spans="1:8" x14ac:dyDescent="0.5">
      <c r="A131" s="170" t="s">
        <v>147</v>
      </c>
      <c r="B131" s="170"/>
      <c r="C131" s="170"/>
      <c r="D131" s="170"/>
      <c r="E131" s="170"/>
      <c r="F131" s="170"/>
      <c r="G131" s="170"/>
      <c r="H131" s="170"/>
    </row>
    <row r="132" spans="1:8" x14ac:dyDescent="0.5">
      <c r="A132" s="19"/>
      <c r="B132" s="1"/>
      <c r="C132" s="1"/>
      <c r="D132" s="1"/>
      <c r="E132" s="1"/>
      <c r="F132" s="171" t="s">
        <v>199</v>
      </c>
      <c r="G132" s="171"/>
      <c r="H132" s="171"/>
    </row>
    <row r="133" spans="1:8" x14ac:dyDescent="0.5">
      <c r="A133" s="170" t="s">
        <v>17</v>
      </c>
      <c r="B133" s="170"/>
      <c r="C133" s="170"/>
      <c r="D133" s="170"/>
      <c r="E133" s="170"/>
      <c r="F133" s="170"/>
      <c r="G133" s="170"/>
      <c r="H133" s="170"/>
    </row>
    <row r="134" spans="1:8" ht="24" thickBot="1" x14ac:dyDescent="0.55000000000000004">
      <c r="A134" s="59"/>
      <c r="B134" s="27"/>
      <c r="C134" s="27"/>
      <c r="D134" s="27"/>
      <c r="E134" s="27"/>
      <c r="F134" s="174" t="s">
        <v>217</v>
      </c>
      <c r="G134" s="174"/>
      <c r="H134" s="174"/>
    </row>
    <row r="135" spans="1:8" ht="24" thickTop="1" x14ac:dyDescent="0.5">
      <c r="A135" s="175" t="s">
        <v>18</v>
      </c>
      <c r="B135" s="175"/>
      <c r="C135" s="175"/>
      <c r="D135" s="175"/>
      <c r="E135" s="25"/>
      <c r="F135" s="175" t="s">
        <v>19</v>
      </c>
      <c r="G135" s="175"/>
      <c r="H135" s="175"/>
    </row>
    <row r="136" spans="1:8" x14ac:dyDescent="0.5">
      <c r="A136" s="176" t="s">
        <v>20</v>
      </c>
      <c r="B136" s="177"/>
      <c r="C136" s="178" t="s">
        <v>22</v>
      </c>
      <c r="D136" s="178"/>
      <c r="E136" s="179" t="s">
        <v>0</v>
      </c>
      <c r="F136" s="102" t="s">
        <v>23</v>
      </c>
      <c r="G136" s="176" t="s">
        <v>22</v>
      </c>
      <c r="H136" s="177"/>
    </row>
    <row r="137" spans="1:8" ht="24" thickBot="1" x14ac:dyDescent="0.55000000000000004">
      <c r="A137" s="167" t="s">
        <v>21</v>
      </c>
      <c r="B137" s="168"/>
      <c r="C137" s="169" t="s">
        <v>21</v>
      </c>
      <c r="D137" s="169"/>
      <c r="E137" s="180"/>
      <c r="F137" s="103" t="s">
        <v>24</v>
      </c>
      <c r="G137" s="167" t="s">
        <v>21</v>
      </c>
      <c r="H137" s="168"/>
    </row>
    <row r="138" spans="1:8" ht="24" thickTop="1" x14ac:dyDescent="0.5">
      <c r="A138" s="18"/>
      <c r="B138" s="25"/>
      <c r="C138" s="172">
        <f>C94</f>
        <v>53744181.479999997</v>
      </c>
      <c r="D138" s="173"/>
      <c r="E138" s="14" t="s">
        <v>25</v>
      </c>
      <c r="F138" s="28"/>
      <c r="G138" s="172">
        <f>'ใบต่อ  57'!G141:H141</f>
        <v>87572574.770000011</v>
      </c>
      <c r="H138" s="173"/>
    </row>
    <row r="139" spans="1:8" x14ac:dyDescent="0.5">
      <c r="A139" s="8"/>
      <c r="B139" s="6"/>
      <c r="C139" s="161"/>
      <c r="D139" s="162"/>
      <c r="E139" s="14" t="s">
        <v>43</v>
      </c>
      <c r="F139" s="29" t="s">
        <v>71</v>
      </c>
      <c r="G139" s="161"/>
      <c r="H139" s="162"/>
    </row>
    <row r="140" spans="1:8" x14ac:dyDescent="0.5">
      <c r="A140" s="8">
        <v>3565000</v>
      </c>
      <c r="B140" s="5" t="s">
        <v>16</v>
      </c>
      <c r="C140" s="161">
        <f>C96+G140</f>
        <v>282630.3</v>
      </c>
      <c r="D140" s="162"/>
      <c r="E140" s="14" t="s">
        <v>26</v>
      </c>
      <c r="F140" s="29" t="s">
        <v>77</v>
      </c>
      <c r="G140" s="161">
        <f>172085.12+6776.12+64796+1152-24.3-8</f>
        <v>244776.94</v>
      </c>
      <c r="H140" s="162"/>
    </row>
    <row r="141" spans="1:8" x14ac:dyDescent="0.5">
      <c r="A141" s="8">
        <v>1135000</v>
      </c>
      <c r="B141" s="5" t="s">
        <v>16</v>
      </c>
      <c r="C141" s="161">
        <f t="shared" ref="C141:C147" si="6">C97+G141</f>
        <v>356855</v>
      </c>
      <c r="D141" s="162"/>
      <c r="E141" s="14" t="s">
        <v>27</v>
      </c>
      <c r="F141" s="29" t="s">
        <v>78</v>
      </c>
      <c r="G141" s="161">
        <f>240+81640+6200+1060+2610+240+3500+19900+1599+145</f>
        <v>117134</v>
      </c>
      <c r="H141" s="162"/>
    </row>
    <row r="142" spans="1:8" x14ac:dyDescent="0.5">
      <c r="A142" s="8">
        <v>401000</v>
      </c>
      <c r="B142" s="5" t="s">
        <v>16</v>
      </c>
      <c r="C142" s="161">
        <f t="shared" si="6"/>
        <v>219079.53</v>
      </c>
      <c r="D142" s="162"/>
      <c r="E142" s="14" t="s">
        <v>28</v>
      </c>
      <c r="F142" s="29" t="s">
        <v>79</v>
      </c>
      <c r="G142" s="161">
        <f>20200+90994.69</f>
        <v>111194.69</v>
      </c>
      <c r="H142" s="162"/>
    </row>
    <row r="143" spans="1:8" x14ac:dyDescent="0.5">
      <c r="A143" s="8">
        <v>1000</v>
      </c>
      <c r="B143" s="5" t="s">
        <v>16</v>
      </c>
      <c r="C143" s="161">
        <f t="shared" si="6"/>
        <v>0</v>
      </c>
      <c r="D143" s="162"/>
      <c r="E143" s="14" t="s">
        <v>29</v>
      </c>
      <c r="F143" s="29" t="s">
        <v>81</v>
      </c>
      <c r="G143" s="161"/>
      <c r="H143" s="162"/>
    </row>
    <row r="144" spans="1:8" x14ac:dyDescent="0.5">
      <c r="A144" s="8">
        <v>152000</v>
      </c>
      <c r="B144" s="5" t="s">
        <v>16</v>
      </c>
      <c r="C144" s="161">
        <f t="shared" si="6"/>
        <v>33764</v>
      </c>
      <c r="D144" s="162"/>
      <c r="E144" s="14" t="s">
        <v>30</v>
      </c>
      <c r="F144" s="29" t="s">
        <v>80</v>
      </c>
      <c r="G144" s="161">
        <f>600+22+568+10720+8</f>
        <v>11918</v>
      </c>
      <c r="H144" s="162"/>
    </row>
    <row r="145" spans="1:8" x14ac:dyDescent="0.5">
      <c r="A145" s="2">
        <v>1000</v>
      </c>
      <c r="B145" s="5"/>
      <c r="C145" s="161">
        <f t="shared" si="6"/>
        <v>0</v>
      </c>
      <c r="D145" s="162"/>
      <c r="E145" s="14" t="s">
        <v>31</v>
      </c>
      <c r="F145" s="29" t="s">
        <v>82</v>
      </c>
      <c r="G145" s="161"/>
      <c r="H145" s="162"/>
    </row>
    <row r="146" spans="1:8" x14ac:dyDescent="0.5">
      <c r="A146" s="8">
        <v>54205000</v>
      </c>
      <c r="B146" s="5" t="s">
        <v>16</v>
      </c>
      <c r="C146" s="161">
        <f t="shared" si="6"/>
        <v>17061152.5</v>
      </c>
      <c r="D146" s="162"/>
      <c r="E146" s="14" t="s">
        <v>32</v>
      </c>
      <c r="F146" s="29" t="s">
        <v>83</v>
      </c>
      <c r="G146" s="161">
        <f>617052.12+432395.69+526732.75+873943</f>
        <v>2450123.56</v>
      </c>
      <c r="H146" s="162"/>
    </row>
    <row r="147" spans="1:8" x14ac:dyDescent="0.5">
      <c r="A147" s="8">
        <v>27386000</v>
      </c>
      <c r="B147" s="5" t="s">
        <v>16</v>
      </c>
      <c r="C147" s="161">
        <f t="shared" si="6"/>
        <v>27000554</v>
      </c>
      <c r="D147" s="162"/>
      <c r="E147" s="14" t="s">
        <v>13</v>
      </c>
      <c r="F147" s="29" t="s">
        <v>84</v>
      </c>
      <c r="G147" s="161">
        <v>605240</v>
      </c>
      <c r="H147" s="162"/>
    </row>
    <row r="148" spans="1:8" ht="24" thickBot="1" x14ac:dyDescent="0.55000000000000004">
      <c r="A148" s="64">
        <f>SUM(A140:A147)</f>
        <v>86846000</v>
      </c>
      <c r="B148" s="60" t="s">
        <v>16</v>
      </c>
      <c r="C148" s="163">
        <f>SUM(C140:C147)</f>
        <v>44954035.329999998</v>
      </c>
      <c r="D148" s="164"/>
      <c r="F148" s="29"/>
      <c r="G148" s="163">
        <f>SUM(G140:G147)</f>
        <v>3540387.19</v>
      </c>
      <c r="H148" s="164"/>
    </row>
    <row r="149" spans="1:8" ht="24" thickTop="1" x14ac:dyDescent="0.5">
      <c r="A149" s="31"/>
      <c r="B149" s="22"/>
      <c r="C149" s="165"/>
      <c r="D149" s="166"/>
      <c r="E149" s="43" t="s">
        <v>134</v>
      </c>
      <c r="F149" s="34"/>
      <c r="G149" s="165">
        <v>0</v>
      </c>
      <c r="H149" s="166"/>
    </row>
    <row r="150" spans="1:8" x14ac:dyDescent="0.5">
      <c r="A150" s="31"/>
      <c r="B150" s="22"/>
      <c r="C150" s="155">
        <f>C106+G150</f>
        <v>7060200</v>
      </c>
      <c r="D150" s="156"/>
      <c r="E150" s="22" t="s">
        <v>155</v>
      </c>
      <c r="F150" s="34"/>
      <c r="G150" s="155">
        <v>0</v>
      </c>
      <c r="H150" s="156"/>
    </row>
    <row r="151" spans="1:8" x14ac:dyDescent="0.5">
      <c r="A151" s="31"/>
      <c r="B151" s="22"/>
      <c r="C151" s="155">
        <f>C107+G151</f>
        <v>576500</v>
      </c>
      <c r="D151" s="156"/>
      <c r="E151" s="22" t="s">
        <v>156</v>
      </c>
      <c r="F151" s="34"/>
      <c r="G151" s="155">
        <v>3500</v>
      </c>
      <c r="H151" s="156"/>
    </row>
    <row r="152" spans="1:8" x14ac:dyDescent="0.5">
      <c r="A152" s="31"/>
      <c r="B152" s="22"/>
      <c r="C152" s="155"/>
      <c r="D152" s="156"/>
      <c r="E152" s="43" t="s">
        <v>135</v>
      </c>
      <c r="F152" s="34"/>
      <c r="G152" s="157"/>
      <c r="H152" s="158"/>
    </row>
    <row r="153" spans="1:8" x14ac:dyDescent="0.5">
      <c r="A153" s="31"/>
      <c r="B153" s="22"/>
      <c r="C153" s="155">
        <f>C111</f>
        <v>0</v>
      </c>
      <c r="D153" s="156"/>
      <c r="E153" s="22" t="s">
        <v>157</v>
      </c>
      <c r="F153" s="34"/>
      <c r="G153" s="155"/>
      <c r="H153" s="156"/>
    </row>
    <row r="154" spans="1:8" x14ac:dyDescent="0.5">
      <c r="A154" s="31"/>
      <c r="B154" s="22"/>
      <c r="C154" s="155"/>
      <c r="D154" s="156"/>
      <c r="E154" s="22" t="s">
        <v>158</v>
      </c>
      <c r="F154" s="34"/>
      <c r="G154" s="155"/>
      <c r="H154" s="156"/>
    </row>
    <row r="155" spans="1:8" x14ac:dyDescent="0.5">
      <c r="A155" s="31"/>
      <c r="B155" s="22"/>
      <c r="C155" s="155">
        <f>G155</f>
        <v>0</v>
      </c>
      <c r="D155" s="156"/>
      <c r="E155" s="22" t="s">
        <v>160</v>
      </c>
      <c r="F155" s="34"/>
      <c r="G155" s="155"/>
      <c r="H155" s="156"/>
    </row>
    <row r="156" spans="1:8" x14ac:dyDescent="0.5">
      <c r="A156" s="31"/>
      <c r="B156" s="22"/>
      <c r="C156" s="155"/>
      <c r="D156" s="156"/>
      <c r="E156" s="22" t="s">
        <v>159</v>
      </c>
      <c r="F156" s="34"/>
      <c r="G156" s="155"/>
      <c r="H156" s="156"/>
    </row>
    <row r="157" spans="1:8" x14ac:dyDescent="0.5">
      <c r="A157" s="31"/>
      <c r="B157" s="22"/>
      <c r="C157" s="155">
        <f>C113</f>
        <v>489780</v>
      </c>
      <c r="D157" s="156"/>
      <c r="E157" s="22" t="s">
        <v>176</v>
      </c>
      <c r="F157" s="34"/>
      <c r="G157" s="155"/>
      <c r="H157" s="156"/>
    </row>
    <row r="158" spans="1:8" x14ac:dyDescent="0.5">
      <c r="A158" s="31"/>
      <c r="B158" s="22"/>
      <c r="C158" s="155">
        <f>C114+G158</f>
        <v>3269971.1</v>
      </c>
      <c r="D158" s="156"/>
      <c r="E158" s="22" t="s">
        <v>33</v>
      </c>
      <c r="F158" s="34" t="s">
        <v>74</v>
      </c>
      <c r="G158" s="157">
        <f>'รายละเอียด(หมายเหตุ2)'!D131</f>
        <v>695610.23</v>
      </c>
      <c r="H158" s="158"/>
    </row>
    <row r="159" spans="1:8" x14ac:dyDescent="0.5">
      <c r="A159" s="31"/>
      <c r="B159" s="22"/>
      <c r="C159" s="155">
        <f>C115+G159</f>
        <v>233430</v>
      </c>
      <c r="D159" s="156"/>
      <c r="E159" s="22" t="s">
        <v>34</v>
      </c>
      <c r="F159" s="34" t="s">
        <v>61</v>
      </c>
      <c r="G159" s="157">
        <f>24240+3560+6000+60000+5406+3550+60000</f>
        <v>162756</v>
      </c>
      <c r="H159" s="158"/>
    </row>
    <row r="160" spans="1:8" x14ac:dyDescent="0.5">
      <c r="A160" s="31"/>
      <c r="B160" s="22"/>
      <c r="C160" s="155">
        <f>C116+G160</f>
        <v>3621400</v>
      </c>
      <c r="D160" s="156"/>
      <c r="E160" s="22" t="s">
        <v>56</v>
      </c>
      <c r="F160" s="34" t="s">
        <v>60</v>
      </c>
      <c r="G160" s="157">
        <v>41500</v>
      </c>
      <c r="H160" s="158"/>
    </row>
    <row r="161" spans="1:8" x14ac:dyDescent="0.5">
      <c r="A161" s="31"/>
      <c r="B161" s="22"/>
      <c r="C161" s="155">
        <f>C117</f>
        <v>0</v>
      </c>
      <c r="D161" s="156"/>
      <c r="E161" s="22" t="s">
        <v>137</v>
      </c>
      <c r="F161" s="34" t="s">
        <v>141</v>
      </c>
      <c r="G161" s="157"/>
      <c r="H161" s="158"/>
    </row>
    <row r="162" spans="1:8" x14ac:dyDescent="0.5">
      <c r="A162" s="31"/>
      <c r="B162" s="22"/>
      <c r="C162" s="155">
        <f>C118+G162</f>
        <v>62020</v>
      </c>
      <c r="D162" s="156"/>
      <c r="E162" s="22" t="s">
        <v>102</v>
      </c>
      <c r="F162" s="34" t="s">
        <v>142</v>
      </c>
      <c r="G162" s="157">
        <v>500</v>
      </c>
      <c r="H162" s="158"/>
    </row>
    <row r="163" spans="1:8" x14ac:dyDescent="0.5">
      <c r="A163" s="31"/>
      <c r="B163" s="22"/>
      <c r="C163" s="155">
        <f>C119+G163</f>
        <v>289.75</v>
      </c>
      <c r="D163" s="156"/>
      <c r="E163" s="22" t="s">
        <v>138</v>
      </c>
      <c r="F163" s="34" t="s">
        <v>143</v>
      </c>
      <c r="G163" s="157">
        <v>175.75</v>
      </c>
      <c r="H163" s="158"/>
    </row>
    <row r="164" spans="1:8" x14ac:dyDescent="0.5">
      <c r="A164" s="31"/>
      <c r="B164" s="22"/>
      <c r="C164" s="155">
        <f>C120+G164</f>
        <v>1600</v>
      </c>
      <c r="D164" s="156"/>
      <c r="E164" s="22" t="s">
        <v>125</v>
      </c>
      <c r="F164" s="34" t="s">
        <v>144</v>
      </c>
      <c r="G164" s="157">
        <v>800</v>
      </c>
      <c r="H164" s="158"/>
    </row>
    <row r="165" spans="1:8" x14ac:dyDescent="0.5">
      <c r="A165" s="31"/>
      <c r="B165" s="22"/>
      <c r="C165" s="155">
        <f>C121</f>
        <v>2100</v>
      </c>
      <c r="D165" s="156"/>
      <c r="E165" s="22" t="s">
        <v>139</v>
      </c>
      <c r="F165" s="34" t="s">
        <v>146</v>
      </c>
      <c r="G165" s="157"/>
      <c r="H165" s="158"/>
    </row>
    <row r="166" spans="1:8" x14ac:dyDescent="0.5">
      <c r="A166" s="31"/>
      <c r="B166" s="22"/>
      <c r="C166" s="155">
        <f>C122+G166</f>
        <v>610639</v>
      </c>
      <c r="D166" s="156"/>
      <c r="E166" s="22" t="s">
        <v>115</v>
      </c>
      <c r="F166" s="34" t="s">
        <v>140</v>
      </c>
      <c r="G166" s="157">
        <v>41500</v>
      </c>
      <c r="H166" s="158"/>
    </row>
    <row r="167" spans="1:8" x14ac:dyDescent="0.5">
      <c r="A167" s="31"/>
      <c r="B167" s="22"/>
      <c r="C167" s="155">
        <f>C123</f>
        <v>3939.09</v>
      </c>
      <c r="D167" s="156"/>
      <c r="E167" s="22" t="s">
        <v>174</v>
      </c>
      <c r="F167" s="34"/>
      <c r="G167" s="159">
        <v>0</v>
      </c>
      <c r="H167" s="160"/>
    </row>
    <row r="168" spans="1:8" x14ac:dyDescent="0.5">
      <c r="A168" s="31"/>
      <c r="B168" s="22"/>
      <c r="C168" s="155">
        <f t="shared" ref="C168" si="7">C125+G168</f>
        <v>8.14</v>
      </c>
      <c r="D168" s="156"/>
      <c r="E168" s="22" t="s">
        <v>224</v>
      </c>
      <c r="F168" s="34" t="s">
        <v>225</v>
      </c>
      <c r="G168" s="157">
        <v>8.14</v>
      </c>
      <c r="H168" s="158"/>
    </row>
    <row r="169" spans="1:8" x14ac:dyDescent="0.5">
      <c r="A169" s="31"/>
      <c r="B169" s="22"/>
      <c r="C169" s="155">
        <v>0</v>
      </c>
      <c r="D169" s="156"/>
      <c r="E169" s="22" t="s">
        <v>92</v>
      </c>
      <c r="F169" s="34" t="s">
        <v>93</v>
      </c>
      <c r="G169" s="157"/>
      <c r="H169" s="158"/>
    </row>
    <row r="170" spans="1:8" x14ac:dyDescent="0.5">
      <c r="A170" s="31"/>
      <c r="B170" s="22"/>
      <c r="C170" s="155">
        <f>C126</f>
        <v>1194.8399999999999</v>
      </c>
      <c r="D170" s="156"/>
      <c r="E170" s="22" t="s">
        <v>15</v>
      </c>
      <c r="F170" s="34" t="s">
        <v>181</v>
      </c>
      <c r="G170" s="157">
        <v>0</v>
      </c>
      <c r="H170" s="158"/>
    </row>
    <row r="171" spans="1:8" x14ac:dyDescent="0.5">
      <c r="A171" s="31"/>
      <c r="B171" s="22"/>
      <c r="C171" s="155"/>
      <c r="D171" s="156"/>
      <c r="E171" s="22" t="s">
        <v>170</v>
      </c>
      <c r="F171" s="34" t="s">
        <v>128</v>
      </c>
      <c r="G171" s="157">
        <v>0</v>
      </c>
      <c r="H171" s="158"/>
    </row>
    <row r="172" spans="1:8" x14ac:dyDescent="0.5">
      <c r="A172" s="31"/>
      <c r="B172" s="22"/>
      <c r="C172" s="181">
        <f>SUM(C150:C171)</f>
        <v>15933071.92</v>
      </c>
      <c r="D172" s="182"/>
      <c r="E172" s="22"/>
      <c r="F172" s="34"/>
      <c r="G172" s="183">
        <f>SUM(G150:G171)</f>
        <v>946350.12</v>
      </c>
      <c r="H172" s="184"/>
    </row>
    <row r="173" spans="1:8" ht="24" thickBot="1" x14ac:dyDescent="0.55000000000000004">
      <c r="A173" s="31"/>
      <c r="C173" s="163">
        <f>C148+C172</f>
        <v>60887107.25</v>
      </c>
      <c r="D173" s="164"/>
      <c r="E173" s="101" t="s">
        <v>35</v>
      </c>
      <c r="F173" s="30"/>
      <c r="G173" s="163">
        <f>G148+G172</f>
        <v>4486737.3099999996</v>
      </c>
      <c r="H173" s="164"/>
    </row>
    <row r="174" spans="1:8" ht="24" thickTop="1" x14ac:dyDescent="0.5">
      <c r="A174" s="170" t="s">
        <v>95</v>
      </c>
      <c r="B174" s="170"/>
      <c r="C174" s="170"/>
      <c r="D174" s="170"/>
      <c r="E174" s="170"/>
      <c r="F174" s="170"/>
      <c r="G174" s="170"/>
      <c r="H174" s="170"/>
    </row>
    <row r="175" spans="1:8" x14ac:dyDescent="0.5">
      <c r="A175" s="170" t="s">
        <v>147</v>
      </c>
      <c r="B175" s="170"/>
      <c r="C175" s="170"/>
      <c r="D175" s="170"/>
      <c r="E175" s="170"/>
      <c r="F175" s="170"/>
      <c r="G175" s="170"/>
      <c r="H175" s="170"/>
    </row>
    <row r="176" spans="1:8" x14ac:dyDescent="0.5">
      <c r="A176" s="19"/>
      <c r="B176" s="1"/>
      <c r="C176" s="1"/>
      <c r="D176" s="1"/>
      <c r="E176" s="1"/>
      <c r="F176" s="171" t="s">
        <v>199</v>
      </c>
      <c r="G176" s="171"/>
      <c r="H176" s="171"/>
    </row>
    <row r="177" spans="1:8" x14ac:dyDescent="0.5">
      <c r="A177" s="170" t="s">
        <v>17</v>
      </c>
      <c r="B177" s="170"/>
      <c r="C177" s="170"/>
      <c r="D177" s="170"/>
      <c r="E177" s="170"/>
      <c r="F177" s="170"/>
      <c r="G177" s="170"/>
      <c r="H177" s="170"/>
    </row>
    <row r="178" spans="1:8" ht="24" thickBot="1" x14ac:dyDescent="0.55000000000000004">
      <c r="A178" s="59"/>
      <c r="B178" s="27"/>
      <c r="C178" s="27"/>
      <c r="D178" s="27"/>
      <c r="E178" s="27"/>
      <c r="F178" s="174" t="s">
        <v>228</v>
      </c>
      <c r="G178" s="174"/>
      <c r="H178" s="174"/>
    </row>
    <row r="179" spans="1:8" ht="24" thickTop="1" x14ac:dyDescent="0.5">
      <c r="A179" s="175" t="s">
        <v>18</v>
      </c>
      <c r="B179" s="175"/>
      <c r="C179" s="175"/>
      <c r="D179" s="175"/>
      <c r="E179" s="25"/>
      <c r="F179" s="175" t="s">
        <v>19</v>
      </c>
      <c r="G179" s="175"/>
      <c r="H179" s="175"/>
    </row>
    <row r="180" spans="1:8" x14ac:dyDescent="0.5">
      <c r="A180" s="176" t="s">
        <v>20</v>
      </c>
      <c r="B180" s="177"/>
      <c r="C180" s="178" t="s">
        <v>22</v>
      </c>
      <c r="D180" s="178"/>
      <c r="E180" s="179" t="s">
        <v>0</v>
      </c>
      <c r="F180" s="109" t="s">
        <v>23</v>
      </c>
      <c r="G180" s="176" t="s">
        <v>22</v>
      </c>
      <c r="H180" s="177"/>
    </row>
    <row r="181" spans="1:8" ht="24" thickBot="1" x14ac:dyDescent="0.55000000000000004">
      <c r="A181" s="167" t="s">
        <v>21</v>
      </c>
      <c r="B181" s="168"/>
      <c r="C181" s="169" t="s">
        <v>21</v>
      </c>
      <c r="D181" s="169"/>
      <c r="E181" s="180"/>
      <c r="F181" s="110" t="s">
        <v>24</v>
      </c>
      <c r="G181" s="167" t="s">
        <v>21</v>
      </c>
      <c r="H181" s="168"/>
    </row>
    <row r="182" spans="1:8" ht="24" thickTop="1" x14ac:dyDescent="0.5">
      <c r="A182" s="18"/>
      <c r="B182" s="25"/>
      <c r="C182" s="172">
        <f>C138</f>
        <v>53744181.479999997</v>
      </c>
      <c r="D182" s="173"/>
      <c r="E182" s="14" t="s">
        <v>25</v>
      </c>
      <c r="F182" s="28"/>
      <c r="G182" s="172">
        <f>'ใบต่อ  57'!G191:H191</f>
        <v>78962261.270000011</v>
      </c>
      <c r="H182" s="173"/>
    </row>
    <row r="183" spans="1:8" x14ac:dyDescent="0.5">
      <c r="A183" s="8"/>
      <c r="B183" s="6"/>
      <c r="C183" s="161"/>
      <c r="D183" s="162"/>
      <c r="E183" s="14" t="s">
        <v>43</v>
      </c>
      <c r="F183" s="29" t="s">
        <v>71</v>
      </c>
      <c r="G183" s="161"/>
      <c r="H183" s="162"/>
    </row>
    <row r="184" spans="1:8" x14ac:dyDescent="0.5">
      <c r="A184" s="8">
        <v>3565000</v>
      </c>
      <c r="B184" s="5" t="s">
        <v>16</v>
      </c>
      <c r="C184" s="161">
        <f>C140+G184</f>
        <v>949684.15999999992</v>
      </c>
      <c r="D184" s="162"/>
      <c r="E184" s="14" t="s">
        <v>26</v>
      </c>
      <c r="F184" s="29" t="s">
        <v>77</v>
      </c>
      <c r="G184" s="161">
        <v>667053.86</v>
      </c>
      <c r="H184" s="162"/>
    </row>
    <row r="185" spans="1:8" x14ac:dyDescent="0.5">
      <c r="A185" s="8">
        <v>1135000</v>
      </c>
      <c r="B185" s="5" t="s">
        <v>16</v>
      </c>
      <c r="C185" s="161">
        <f t="shared" ref="C185:C191" si="8">C141+G185</f>
        <v>467756</v>
      </c>
      <c r="D185" s="162"/>
      <c r="E185" s="14" t="s">
        <v>27</v>
      </c>
      <c r="F185" s="29" t="s">
        <v>78</v>
      </c>
      <c r="G185" s="161">
        <v>110901</v>
      </c>
      <c r="H185" s="162"/>
    </row>
    <row r="186" spans="1:8" x14ac:dyDescent="0.5">
      <c r="A186" s="8">
        <v>401000</v>
      </c>
      <c r="B186" s="5" t="s">
        <v>16</v>
      </c>
      <c r="C186" s="161">
        <f t="shared" si="8"/>
        <v>227079.53</v>
      </c>
      <c r="D186" s="162"/>
      <c r="E186" s="14" t="s">
        <v>28</v>
      </c>
      <c r="F186" s="29" t="s">
        <v>79</v>
      </c>
      <c r="G186" s="161">
        <v>8000</v>
      </c>
      <c r="H186" s="162"/>
    </row>
    <row r="187" spans="1:8" x14ac:dyDescent="0.5">
      <c r="A187" s="8">
        <v>1000</v>
      </c>
      <c r="B187" s="5" t="s">
        <v>16</v>
      </c>
      <c r="C187" s="161">
        <f t="shared" si="8"/>
        <v>0</v>
      </c>
      <c r="D187" s="162"/>
      <c r="E187" s="14" t="s">
        <v>29</v>
      </c>
      <c r="F187" s="29" t="s">
        <v>81</v>
      </c>
      <c r="G187" s="161"/>
      <c r="H187" s="162"/>
    </row>
    <row r="188" spans="1:8" x14ac:dyDescent="0.5">
      <c r="A188" s="8">
        <v>152000</v>
      </c>
      <c r="B188" s="5" t="s">
        <v>16</v>
      </c>
      <c r="C188" s="161">
        <f t="shared" si="8"/>
        <v>60581</v>
      </c>
      <c r="D188" s="162"/>
      <c r="E188" s="14" t="s">
        <v>30</v>
      </c>
      <c r="F188" s="29" t="s">
        <v>80</v>
      </c>
      <c r="G188" s="161">
        <f>26816+1</f>
        <v>26817</v>
      </c>
      <c r="H188" s="162"/>
    </row>
    <row r="189" spans="1:8" x14ac:dyDescent="0.5">
      <c r="A189" s="2">
        <v>1000</v>
      </c>
      <c r="B189" s="5"/>
      <c r="C189" s="161">
        <f t="shared" si="8"/>
        <v>0</v>
      </c>
      <c r="D189" s="162"/>
      <c r="E189" s="14" t="s">
        <v>31</v>
      </c>
      <c r="F189" s="29" t="s">
        <v>82</v>
      </c>
      <c r="G189" s="161"/>
      <c r="H189" s="162"/>
    </row>
    <row r="190" spans="1:8" x14ac:dyDescent="0.5">
      <c r="A190" s="8">
        <v>54205000</v>
      </c>
      <c r="B190" s="5" t="s">
        <v>16</v>
      </c>
      <c r="C190" s="161">
        <f t="shared" si="8"/>
        <v>26353407.579999998</v>
      </c>
      <c r="D190" s="162"/>
      <c r="E190" s="14" t="s">
        <v>32</v>
      </c>
      <c r="F190" s="29" t="s">
        <v>83</v>
      </c>
      <c r="G190" s="161">
        <v>9292255.0800000001</v>
      </c>
      <c r="H190" s="162"/>
    </row>
    <row r="191" spans="1:8" x14ac:dyDescent="0.5">
      <c r="A191" s="8">
        <v>27386000</v>
      </c>
      <c r="B191" s="5" t="s">
        <v>16</v>
      </c>
      <c r="C191" s="161">
        <f t="shared" si="8"/>
        <v>27182285</v>
      </c>
      <c r="D191" s="162"/>
      <c r="E191" s="14" t="s">
        <v>13</v>
      </c>
      <c r="F191" s="29" t="s">
        <v>84</v>
      </c>
      <c r="G191" s="161">
        <v>181731</v>
      </c>
      <c r="H191" s="162"/>
    </row>
    <row r="192" spans="1:8" ht="24" thickBot="1" x14ac:dyDescent="0.55000000000000004">
      <c r="A192" s="64">
        <f>SUM(A184:A191)</f>
        <v>86846000</v>
      </c>
      <c r="B192" s="60" t="s">
        <v>16</v>
      </c>
      <c r="C192" s="163">
        <f>SUM(C184:C191)</f>
        <v>55240793.269999996</v>
      </c>
      <c r="D192" s="164"/>
      <c r="F192" s="29"/>
      <c r="G192" s="163">
        <f>SUM(G184:G191)</f>
        <v>10286757.939999999</v>
      </c>
      <c r="H192" s="164"/>
    </row>
    <row r="193" spans="1:8" ht="24" thickTop="1" x14ac:dyDescent="0.5">
      <c r="A193" s="31"/>
      <c r="B193" s="22"/>
      <c r="C193" s="165"/>
      <c r="D193" s="166"/>
      <c r="E193" s="43" t="s">
        <v>134</v>
      </c>
      <c r="F193" s="34"/>
      <c r="G193" s="165">
        <v>0</v>
      </c>
      <c r="H193" s="166"/>
    </row>
    <row r="194" spans="1:8" x14ac:dyDescent="0.5">
      <c r="A194" s="31"/>
      <c r="B194" s="22"/>
      <c r="C194" s="155">
        <f>C150+G194</f>
        <v>7060200</v>
      </c>
      <c r="D194" s="156"/>
      <c r="E194" s="22" t="s">
        <v>155</v>
      </c>
      <c r="F194" s="34"/>
      <c r="G194" s="155">
        <v>0</v>
      </c>
      <c r="H194" s="156"/>
    </row>
    <row r="195" spans="1:8" x14ac:dyDescent="0.5">
      <c r="A195" s="31"/>
      <c r="B195" s="22"/>
      <c r="C195" s="155">
        <f t="shared" ref="C195:C215" si="9">C151+G195</f>
        <v>1149500</v>
      </c>
      <c r="D195" s="156"/>
      <c r="E195" s="22" t="s">
        <v>156</v>
      </c>
      <c r="F195" s="34"/>
      <c r="G195" s="155">
        <v>573000</v>
      </c>
      <c r="H195" s="156"/>
    </row>
    <row r="196" spans="1:8" x14ac:dyDescent="0.5">
      <c r="A196" s="31"/>
      <c r="B196" s="22"/>
      <c r="C196" s="155">
        <f t="shared" si="9"/>
        <v>0</v>
      </c>
      <c r="D196" s="156"/>
      <c r="E196" s="43" t="s">
        <v>135</v>
      </c>
      <c r="F196" s="34"/>
      <c r="G196" s="157"/>
      <c r="H196" s="158"/>
    </row>
    <row r="197" spans="1:8" x14ac:dyDescent="0.5">
      <c r="A197" s="31"/>
      <c r="B197" s="22"/>
      <c r="C197" s="155">
        <f t="shared" si="9"/>
        <v>75000</v>
      </c>
      <c r="D197" s="156"/>
      <c r="E197" s="22" t="s">
        <v>157</v>
      </c>
      <c r="F197" s="34"/>
      <c r="G197" s="155">
        <f>15000*5</f>
        <v>75000</v>
      </c>
      <c r="H197" s="156"/>
    </row>
    <row r="198" spans="1:8" x14ac:dyDescent="0.5">
      <c r="A198" s="31"/>
      <c r="B198" s="22"/>
      <c r="C198" s="155">
        <f t="shared" si="9"/>
        <v>90000</v>
      </c>
      <c r="D198" s="156"/>
      <c r="E198" s="22" t="s">
        <v>158</v>
      </c>
      <c r="F198" s="34"/>
      <c r="G198" s="155">
        <f>9000*2*5</f>
        <v>90000</v>
      </c>
      <c r="H198" s="156"/>
    </row>
    <row r="199" spans="1:8" x14ac:dyDescent="0.5">
      <c r="A199" s="31"/>
      <c r="B199" s="22"/>
      <c r="C199" s="155">
        <f t="shared" si="9"/>
        <v>0</v>
      </c>
      <c r="D199" s="156"/>
      <c r="E199" s="22" t="s">
        <v>160</v>
      </c>
      <c r="F199" s="34"/>
      <c r="G199" s="155"/>
      <c r="H199" s="156"/>
    </row>
    <row r="200" spans="1:8" x14ac:dyDescent="0.5">
      <c r="A200" s="31"/>
      <c r="B200" s="22"/>
      <c r="C200" s="155">
        <f t="shared" si="9"/>
        <v>3960</v>
      </c>
      <c r="D200" s="156"/>
      <c r="E200" s="22" t="s">
        <v>159</v>
      </c>
      <c r="F200" s="34"/>
      <c r="G200" s="155">
        <f>2160+1800</f>
        <v>3960</v>
      </c>
      <c r="H200" s="156"/>
    </row>
    <row r="201" spans="1:8" x14ac:dyDescent="0.5">
      <c r="A201" s="31"/>
      <c r="B201" s="22"/>
      <c r="C201" s="155">
        <f t="shared" si="9"/>
        <v>489780</v>
      </c>
      <c r="D201" s="156"/>
      <c r="E201" s="22" t="s">
        <v>176</v>
      </c>
      <c r="F201" s="34"/>
      <c r="G201" s="155"/>
      <c r="H201" s="156"/>
    </row>
    <row r="202" spans="1:8" x14ac:dyDescent="0.5">
      <c r="A202" s="31"/>
      <c r="B202" s="22"/>
      <c r="C202" s="155">
        <f t="shared" si="9"/>
        <v>3873783.42</v>
      </c>
      <c r="D202" s="156"/>
      <c r="E202" s="22" t="s">
        <v>33</v>
      </c>
      <c r="F202" s="34" t="s">
        <v>74</v>
      </c>
      <c r="G202" s="157">
        <f>'รายละเอียด(หมายเหตุ2)'!D168</f>
        <v>603812.31999999995</v>
      </c>
      <c r="H202" s="158"/>
    </row>
    <row r="203" spans="1:8" x14ac:dyDescent="0.5">
      <c r="A203" s="31"/>
      <c r="B203" s="22"/>
      <c r="C203" s="155">
        <f t="shared" si="9"/>
        <v>277088</v>
      </c>
      <c r="D203" s="156"/>
      <c r="E203" s="22" t="s">
        <v>34</v>
      </c>
      <c r="F203" s="34" t="s">
        <v>61</v>
      </c>
      <c r="G203" s="157">
        <f>7000+4046+7000+4046+3006+18560</f>
        <v>43658</v>
      </c>
      <c r="H203" s="158"/>
    </row>
    <row r="204" spans="1:8" x14ac:dyDescent="0.5">
      <c r="A204" s="31"/>
      <c r="B204" s="22"/>
      <c r="C204" s="155">
        <f t="shared" si="9"/>
        <v>3789460</v>
      </c>
      <c r="D204" s="156"/>
      <c r="E204" s="22" t="s">
        <v>56</v>
      </c>
      <c r="F204" s="34" t="s">
        <v>60</v>
      </c>
      <c r="G204" s="157">
        <f>15000*5+18000*5+720+720+720+900</f>
        <v>168060</v>
      </c>
      <c r="H204" s="158"/>
    </row>
    <row r="205" spans="1:8" x14ac:dyDescent="0.5">
      <c r="A205" s="31"/>
      <c r="B205" s="22"/>
      <c r="C205" s="155">
        <f t="shared" si="9"/>
        <v>0</v>
      </c>
      <c r="D205" s="156"/>
      <c r="E205" s="22" t="s">
        <v>137</v>
      </c>
      <c r="F205" s="34" t="s">
        <v>141</v>
      </c>
      <c r="G205" s="157"/>
      <c r="H205" s="158"/>
    </row>
    <row r="206" spans="1:8" x14ac:dyDescent="0.5">
      <c r="A206" s="31"/>
      <c r="B206" s="22"/>
      <c r="C206" s="155">
        <f t="shared" si="9"/>
        <v>62020</v>
      </c>
      <c r="D206" s="156"/>
      <c r="E206" s="22" t="s">
        <v>102</v>
      </c>
      <c r="F206" s="34" t="s">
        <v>142</v>
      </c>
      <c r="G206" s="157">
        <v>0</v>
      </c>
      <c r="H206" s="158"/>
    </row>
    <row r="207" spans="1:8" x14ac:dyDescent="0.5">
      <c r="A207" s="31"/>
      <c r="B207" s="22"/>
      <c r="C207" s="155">
        <f t="shared" si="9"/>
        <v>433.2</v>
      </c>
      <c r="D207" s="156"/>
      <c r="E207" s="22" t="s">
        <v>138</v>
      </c>
      <c r="F207" s="34" t="s">
        <v>143</v>
      </c>
      <c r="G207" s="157">
        <v>143.44999999999999</v>
      </c>
      <c r="H207" s="158"/>
    </row>
    <row r="208" spans="1:8" x14ac:dyDescent="0.5">
      <c r="A208" s="31"/>
      <c r="B208" s="22"/>
      <c r="C208" s="155">
        <f t="shared" si="9"/>
        <v>1800</v>
      </c>
      <c r="D208" s="156"/>
      <c r="E208" s="22" t="s">
        <v>125</v>
      </c>
      <c r="F208" s="34" t="s">
        <v>144</v>
      </c>
      <c r="G208" s="157">
        <v>200</v>
      </c>
      <c r="H208" s="158"/>
    </row>
    <row r="209" spans="1:8" x14ac:dyDescent="0.5">
      <c r="A209" s="31"/>
      <c r="B209" s="22"/>
      <c r="C209" s="155">
        <f t="shared" si="9"/>
        <v>2100</v>
      </c>
      <c r="D209" s="156"/>
      <c r="E209" s="22" t="s">
        <v>139</v>
      </c>
      <c r="F209" s="34" t="s">
        <v>146</v>
      </c>
      <c r="G209" s="157"/>
      <c r="H209" s="158"/>
    </row>
    <row r="210" spans="1:8" x14ac:dyDescent="0.5">
      <c r="A210" s="31"/>
      <c r="B210" s="22"/>
      <c r="C210" s="155">
        <f t="shared" si="9"/>
        <v>610639</v>
      </c>
      <c r="D210" s="156"/>
      <c r="E210" s="22" t="s">
        <v>115</v>
      </c>
      <c r="F210" s="34" t="s">
        <v>140</v>
      </c>
      <c r="G210" s="157">
        <v>0</v>
      </c>
      <c r="H210" s="158"/>
    </row>
    <row r="211" spans="1:8" x14ac:dyDescent="0.5">
      <c r="A211" s="31"/>
      <c r="B211" s="22"/>
      <c r="C211" s="155">
        <f t="shared" si="9"/>
        <v>3939.09</v>
      </c>
      <c r="D211" s="156"/>
      <c r="E211" s="22" t="s">
        <v>174</v>
      </c>
      <c r="F211" s="34"/>
      <c r="G211" s="159">
        <v>0</v>
      </c>
      <c r="H211" s="160"/>
    </row>
    <row r="212" spans="1:8" x14ac:dyDescent="0.5">
      <c r="A212" s="31"/>
      <c r="B212" s="22"/>
      <c r="C212" s="155">
        <f t="shared" si="9"/>
        <v>8.14</v>
      </c>
      <c r="D212" s="156"/>
      <c r="E212" s="22" t="s">
        <v>224</v>
      </c>
      <c r="F212" s="34" t="s">
        <v>225</v>
      </c>
      <c r="G212" s="157">
        <v>0</v>
      </c>
      <c r="H212" s="158"/>
    </row>
    <row r="213" spans="1:8" x14ac:dyDescent="0.5">
      <c r="A213" s="31"/>
      <c r="B213" s="22"/>
      <c r="C213" s="155">
        <f t="shared" si="9"/>
        <v>0</v>
      </c>
      <c r="D213" s="156"/>
      <c r="E213" s="22" t="s">
        <v>92</v>
      </c>
      <c r="F213" s="34" t="s">
        <v>93</v>
      </c>
      <c r="G213" s="157"/>
      <c r="H213" s="158"/>
    </row>
    <row r="214" spans="1:8" x14ac:dyDescent="0.5">
      <c r="A214" s="31"/>
      <c r="B214" s="22"/>
      <c r="C214" s="155">
        <f t="shared" si="9"/>
        <v>1194.8399999999999</v>
      </c>
      <c r="D214" s="156"/>
      <c r="E214" s="22" t="s">
        <v>15</v>
      </c>
      <c r="F214" s="34" t="s">
        <v>181</v>
      </c>
      <c r="G214" s="157">
        <v>0</v>
      </c>
      <c r="H214" s="158"/>
    </row>
    <row r="215" spans="1:8" x14ac:dyDescent="0.5">
      <c r="A215" s="31"/>
      <c r="B215" s="22"/>
      <c r="C215" s="155">
        <f t="shared" si="9"/>
        <v>0</v>
      </c>
      <c r="D215" s="156"/>
      <c r="E215" s="22" t="s">
        <v>170</v>
      </c>
      <c r="F215" s="34" t="s">
        <v>128</v>
      </c>
      <c r="G215" s="157">
        <v>0</v>
      </c>
      <c r="H215" s="158"/>
    </row>
    <row r="216" spans="1:8" x14ac:dyDescent="0.5">
      <c r="A216" s="31"/>
      <c r="B216" s="22"/>
      <c r="C216" s="181">
        <f>SUM(C194:C215)</f>
        <v>17490905.690000001</v>
      </c>
      <c r="D216" s="182"/>
      <c r="E216" s="22"/>
      <c r="F216" s="34"/>
      <c r="G216" s="183">
        <f>SUM(G194:G215)</f>
        <v>1557833.7699999998</v>
      </c>
      <c r="H216" s="184"/>
    </row>
    <row r="217" spans="1:8" ht="24" thickBot="1" x14ac:dyDescent="0.55000000000000004">
      <c r="A217" s="31"/>
      <c r="C217" s="163">
        <f>C192+C216</f>
        <v>72731698.959999993</v>
      </c>
      <c r="D217" s="164"/>
      <c r="E217" s="108" t="s">
        <v>35</v>
      </c>
      <c r="F217" s="30"/>
      <c r="G217" s="163">
        <f>G192+G216</f>
        <v>11844591.709999999</v>
      </c>
      <c r="H217" s="164"/>
    </row>
    <row r="218" spans="1:8" ht="24" thickTop="1" x14ac:dyDescent="0.5">
      <c r="A218" s="170" t="s">
        <v>95</v>
      </c>
      <c r="B218" s="170"/>
      <c r="C218" s="170"/>
      <c r="D218" s="170"/>
      <c r="E218" s="170"/>
      <c r="F218" s="170"/>
      <c r="G218" s="170"/>
      <c r="H218" s="170"/>
    </row>
    <row r="219" spans="1:8" x14ac:dyDescent="0.5">
      <c r="A219" s="170" t="s">
        <v>147</v>
      </c>
      <c r="B219" s="170"/>
      <c r="C219" s="170"/>
      <c r="D219" s="170"/>
      <c r="E219" s="170"/>
      <c r="F219" s="170"/>
      <c r="G219" s="170"/>
      <c r="H219" s="170"/>
    </row>
    <row r="220" spans="1:8" x14ac:dyDescent="0.5">
      <c r="A220" s="19"/>
      <c r="B220" s="1"/>
      <c r="C220" s="1"/>
      <c r="D220" s="1"/>
      <c r="E220" s="1"/>
      <c r="F220" s="171" t="s">
        <v>199</v>
      </c>
      <c r="G220" s="171"/>
      <c r="H220" s="171"/>
    </row>
    <row r="221" spans="1:8" x14ac:dyDescent="0.5">
      <c r="A221" s="170" t="s">
        <v>17</v>
      </c>
      <c r="B221" s="170"/>
      <c r="C221" s="170"/>
      <c r="D221" s="170"/>
      <c r="E221" s="170"/>
      <c r="F221" s="170"/>
      <c r="G221" s="170"/>
      <c r="H221" s="170"/>
    </row>
    <row r="222" spans="1:8" ht="24" thickBot="1" x14ac:dyDescent="0.55000000000000004">
      <c r="A222" s="59"/>
      <c r="B222" s="27"/>
      <c r="C222" s="27"/>
      <c r="D222" s="27"/>
      <c r="E222" s="27"/>
      <c r="F222" s="174" t="s">
        <v>234</v>
      </c>
      <c r="G222" s="174"/>
      <c r="H222" s="174"/>
    </row>
    <row r="223" spans="1:8" ht="24" thickTop="1" x14ac:dyDescent="0.5">
      <c r="A223" s="175" t="s">
        <v>18</v>
      </c>
      <c r="B223" s="175"/>
      <c r="C223" s="175"/>
      <c r="D223" s="175"/>
      <c r="E223" s="25"/>
      <c r="F223" s="175" t="s">
        <v>19</v>
      </c>
      <c r="G223" s="175"/>
      <c r="H223" s="175"/>
    </row>
    <row r="224" spans="1:8" x14ac:dyDescent="0.5">
      <c r="A224" s="176" t="s">
        <v>20</v>
      </c>
      <c r="B224" s="177"/>
      <c r="C224" s="178" t="s">
        <v>22</v>
      </c>
      <c r="D224" s="178"/>
      <c r="E224" s="179" t="s">
        <v>0</v>
      </c>
      <c r="F224" s="122" t="s">
        <v>23</v>
      </c>
      <c r="G224" s="176" t="s">
        <v>22</v>
      </c>
      <c r="H224" s="177"/>
    </row>
    <row r="225" spans="1:8" ht="24" thickBot="1" x14ac:dyDescent="0.55000000000000004">
      <c r="A225" s="167" t="s">
        <v>21</v>
      </c>
      <c r="B225" s="168"/>
      <c r="C225" s="169" t="s">
        <v>21</v>
      </c>
      <c r="D225" s="169"/>
      <c r="E225" s="180"/>
      <c r="F225" s="123" t="s">
        <v>24</v>
      </c>
      <c r="G225" s="167" t="s">
        <v>21</v>
      </c>
      <c r="H225" s="168"/>
    </row>
    <row r="226" spans="1:8" ht="24" thickTop="1" x14ac:dyDescent="0.5">
      <c r="A226" s="18"/>
      <c r="B226" s="25"/>
      <c r="C226" s="172">
        <f>C182</f>
        <v>53744181.479999997</v>
      </c>
      <c r="D226" s="173"/>
      <c r="E226" s="14" t="s">
        <v>25</v>
      </c>
      <c r="F226" s="28"/>
      <c r="G226" s="172">
        <f>'ใบต่อ  57'!G241:H241</f>
        <v>83422584.950000003</v>
      </c>
      <c r="H226" s="173"/>
    </row>
    <row r="227" spans="1:8" x14ac:dyDescent="0.5">
      <c r="A227" s="8"/>
      <c r="B227" s="6"/>
      <c r="C227" s="161"/>
      <c r="D227" s="162"/>
      <c r="E227" s="14" t="s">
        <v>43</v>
      </c>
      <c r="F227" s="29" t="s">
        <v>71</v>
      </c>
      <c r="G227" s="161"/>
      <c r="H227" s="162"/>
    </row>
    <row r="228" spans="1:8" x14ac:dyDescent="0.5">
      <c r="A228" s="8">
        <v>3565000</v>
      </c>
      <c r="B228" s="5" t="s">
        <v>16</v>
      </c>
      <c r="C228" s="161">
        <f>C184+G228</f>
        <v>4868176.34</v>
      </c>
      <c r="D228" s="162"/>
      <c r="E228" s="14" t="s">
        <v>26</v>
      </c>
      <c r="F228" s="29" t="s">
        <v>77</v>
      </c>
      <c r="G228" s="161">
        <v>3918492.18</v>
      </c>
      <c r="H228" s="162"/>
    </row>
    <row r="229" spans="1:8" x14ac:dyDescent="0.5">
      <c r="A229" s="8">
        <v>1135000</v>
      </c>
      <c r="B229" s="5" t="s">
        <v>16</v>
      </c>
      <c r="C229" s="161">
        <f t="shared" ref="C229:C235" si="10">C185+G229</f>
        <v>599825.80000000005</v>
      </c>
      <c r="D229" s="162"/>
      <c r="E229" s="14" t="s">
        <v>27</v>
      </c>
      <c r="F229" s="29" t="s">
        <v>78</v>
      </c>
      <c r="G229" s="161">
        <v>132069.79999999999</v>
      </c>
      <c r="H229" s="162"/>
    </row>
    <row r="230" spans="1:8" x14ac:dyDescent="0.5">
      <c r="A230" s="8">
        <v>401000</v>
      </c>
      <c r="B230" s="5" t="s">
        <v>16</v>
      </c>
      <c r="C230" s="161">
        <f t="shared" si="10"/>
        <v>337964.93</v>
      </c>
      <c r="D230" s="162"/>
      <c r="E230" s="14" t="s">
        <v>28</v>
      </c>
      <c r="F230" s="29" t="s">
        <v>79</v>
      </c>
      <c r="G230" s="161">
        <v>110885.4</v>
      </c>
      <c r="H230" s="162"/>
    </row>
    <row r="231" spans="1:8" x14ac:dyDescent="0.5">
      <c r="A231" s="8">
        <v>1000</v>
      </c>
      <c r="B231" s="5" t="s">
        <v>16</v>
      </c>
      <c r="C231" s="161">
        <f t="shared" si="10"/>
        <v>0</v>
      </c>
      <c r="D231" s="162"/>
      <c r="E231" s="14" t="s">
        <v>29</v>
      </c>
      <c r="F231" s="29" t="s">
        <v>81</v>
      </c>
      <c r="G231" s="161"/>
      <c r="H231" s="162"/>
    </row>
    <row r="232" spans="1:8" x14ac:dyDescent="0.5">
      <c r="A232" s="8">
        <v>152000</v>
      </c>
      <c r="B232" s="5" t="s">
        <v>16</v>
      </c>
      <c r="C232" s="161">
        <f t="shared" si="10"/>
        <v>79613.75</v>
      </c>
      <c r="D232" s="162"/>
      <c r="E232" s="14" t="s">
        <v>30</v>
      </c>
      <c r="F232" s="29" t="s">
        <v>80</v>
      </c>
      <c r="G232" s="161">
        <v>19032.75</v>
      </c>
      <c r="H232" s="162"/>
    </row>
    <row r="233" spans="1:8" x14ac:dyDescent="0.5">
      <c r="A233" s="2">
        <v>1000</v>
      </c>
      <c r="B233" s="5"/>
      <c r="C233" s="161">
        <f t="shared" si="10"/>
        <v>0</v>
      </c>
      <c r="D233" s="162"/>
      <c r="E233" s="14" t="s">
        <v>31</v>
      </c>
      <c r="F233" s="29" t="s">
        <v>82</v>
      </c>
      <c r="G233" s="161"/>
      <c r="H233" s="162"/>
    </row>
    <row r="234" spans="1:8" x14ac:dyDescent="0.5">
      <c r="A234" s="8">
        <v>54205000</v>
      </c>
      <c r="B234" s="5" t="s">
        <v>16</v>
      </c>
      <c r="C234" s="161">
        <f t="shared" si="10"/>
        <v>26943365.579999998</v>
      </c>
      <c r="D234" s="162"/>
      <c r="E234" s="14" t="s">
        <v>32</v>
      </c>
      <c r="F234" s="29" t="s">
        <v>83</v>
      </c>
      <c r="G234" s="161">
        <v>589958</v>
      </c>
      <c r="H234" s="162"/>
    </row>
    <row r="235" spans="1:8" x14ac:dyDescent="0.5">
      <c r="A235" s="8">
        <v>27386000</v>
      </c>
      <c r="B235" s="5" t="s">
        <v>16</v>
      </c>
      <c r="C235" s="161">
        <f t="shared" si="10"/>
        <v>27182285</v>
      </c>
      <c r="D235" s="162"/>
      <c r="E235" s="14" t="s">
        <v>13</v>
      </c>
      <c r="F235" s="29" t="s">
        <v>84</v>
      </c>
      <c r="G235" s="161"/>
      <c r="H235" s="162"/>
    </row>
    <row r="236" spans="1:8" ht="24" thickBot="1" x14ac:dyDescent="0.55000000000000004">
      <c r="A236" s="64">
        <f>SUM(A228:A235)</f>
        <v>86846000</v>
      </c>
      <c r="B236" s="60" t="s">
        <v>16</v>
      </c>
      <c r="C236" s="163">
        <f>SUM(C228:C235)</f>
        <v>60011231.399999999</v>
      </c>
      <c r="D236" s="164"/>
      <c r="F236" s="29"/>
      <c r="G236" s="163">
        <f>SUM(G228:G235)</f>
        <v>4770438.13</v>
      </c>
      <c r="H236" s="164"/>
    </row>
    <row r="237" spans="1:8" ht="24" thickTop="1" x14ac:dyDescent="0.5">
      <c r="A237" s="31"/>
      <c r="B237" s="22"/>
      <c r="C237" s="165"/>
      <c r="D237" s="166"/>
      <c r="E237" s="43" t="s">
        <v>134</v>
      </c>
      <c r="F237" s="34"/>
      <c r="G237" s="165">
        <v>0</v>
      </c>
      <c r="H237" s="166"/>
    </row>
    <row r="238" spans="1:8" x14ac:dyDescent="0.5">
      <c r="A238" s="31"/>
      <c r="B238" s="22"/>
      <c r="C238" s="155">
        <f>C194+G238</f>
        <v>14120400</v>
      </c>
      <c r="D238" s="156"/>
      <c r="E238" s="22" t="s">
        <v>155</v>
      </c>
      <c r="F238" s="34"/>
      <c r="G238" s="155">
        <v>7060200</v>
      </c>
      <c r="H238" s="156"/>
    </row>
    <row r="239" spans="1:8" x14ac:dyDescent="0.5">
      <c r="A239" s="31"/>
      <c r="B239" s="22"/>
      <c r="C239" s="155">
        <f t="shared" ref="C239:C259" si="11">C195+G239</f>
        <v>1149500</v>
      </c>
      <c r="D239" s="156"/>
      <c r="E239" s="22" t="s">
        <v>156</v>
      </c>
      <c r="F239" s="34"/>
      <c r="G239" s="155">
        <v>0</v>
      </c>
      <c r="H239" s="156"/>
    </row>
    <row r="240" spans="1:8" x14ac:dyDescent="0.5">
      <c r="A240" s="31"/>
      <c r="B240" s="22"/>
      <c r="C240" s="155">
        <f t="shared" si="11"/>
        <v>0</v>
      </c>
      <c r="D240" s="156"/>
      <c r="E240" s="43" t="s">
        <v>135</v>
      </c>
      <c r="F240" s="34"/>
      <c r="G240" s="157"/>
      <c r="H240" s="158"/>
    </row>
    <row r="241" spans="1:8" x14ac:dyDescent="0.5">
      <c r="A241" s="31"/>
      <c r="B241" s="22"/>
      <c r="C241" s="155">
        <f t="shared" si="11"/>
        <v>90000</v>
      </c>
      <c r="D241" s="156"/>
      <c r="E241" s="22" t="s">
        <v>157</v>
      </c>
      <c r="F241" s="34"/>
      <c r="G241" s="155">
        <v>15000</v>
      </c>
      <c r="H241" s="156"/>
    </row>
    <row r="242" spans="1:8" x14ac:dyDescent="0.5">
      <c r="A242" s="31"/>
      <c r="B242" s="22"/>
      <c r="C242" s="155">
        <f t="shared" si="11"/>
        <v>108000</v>
      </c>
      <c r="D242" s="156"/>
      <c r="E242" s="22" t="s">
        <v>158</v>
      </c>
      <c r="F242" s="34"/>
      <c r="G242" s="155">
        <v>18000</v>
      </c>
      <c r="H242" s="156"/>
    </row>
    <row r="243" spans="1:8" x14ac:dyDescent="0.5">
      <c r="A243" s="31"/>
      <c r="B243" s="22"/>
      <c r="C243" s="155">
        <f t="shared" si="11"/>
        <v>25000</v>
      </c>
      <c r="D243" s="156"/>
      <c r="E243" s="22" t="s">
        <v>160</v>
      </c>
      <c r="F243" s="34"/>
      <c r="G243" s="155">
        <v>25000</v>
      </c>
      <c r="H243" s="156"/>
    </row>
    <row r="244" spans="1:8" x14ac:dyDescent="0.5">
      <c r="A244" s="31"/>
      <c r="B244" s="22"/>
      <c r="C244" s="155">
        <f t="shared" si="11"/>
        <v>4860</v>
      </c>
      <c r="D244" s="156"/>
      <c r="E244" s="22" t="s">
        <v>159</v>
      </c>
      <c r="F244" s="34"/>
      <c r="G244" s="155">
        <v>900</v>
      </c>
      <c r="H244" s="156"/>
    </row>
    <row r="245" spans="1:8" x14ac:dyDescent="0.5">
      <c r="A245" s="31"/>
      <c r="B245" s="22"/>
      <c r="C245" s="155">
        <f t="shared" si="11"/>
        <v>489780</v>
      </c>
      <c r="D245" s="156"/>
      <c r="E245" s="22" t="s">
        <v>176</v>
      </c>
      <c r="F245" s="34"/>
      <c r="G245" s="155"/>
      <c r="H245" s="156"/>
    </row>
    <row r="246" spans="1:8" x14ac:dyDescent="0.5">
      <c r="A246" s="31"/>
      <c r="B246" s="22"/>
      <c r="C246" s="155">
        <f t="shared" si="11"/>
        <v>5303526.01</v>
      </c>
      <c r="D246" s="156"/>
      <c r="E246" s="22" t="s">
        <v>33</v>
      </c>
      <c r="F246" s="34" t="s">
        <v>74</v>
      </c>
      <c r="G246" s="157">
        <f>'รายละเอียด(หมายเหตุ2)'!D204</f>
        <v>1429742.59</v>
      </c>
      <c r="H246" s="158"/>
    </row>
    <row r="247" spans="1:8" x14ac:dyDescent="0.5">
      <c r="A247" s="31"/>
      <c r="B247" s="22"/>
      <c r="C247" s="155">
        <f t="shared" si="11"/>
        <v>287346</v>
      </c>
      <c r="D247" s="156"/>
      <c r="E247" s="22" t="s">
        <v>34</v>
      </c>
      <c r="F247" s="34" t="s">
        <v>61</v>
      </c>
      <c r="G247" s="157">
        <f>2812+7446</f>
        <v>10258</v>
      </c>
      <c r="H247" s="158"/>
    </row>
    <row r="248" spans="1:8" x14ac:dyDescent="0.5">
      <c r="A248" s="31"/>
      <c r="B248" s="22"/>
      <c r="C248" s="155">
        <f t="shared" si="11"/>
        <v>4146960</v>
      </c>
      <c r="D248" s="156"/>
      <c r="E248" s="22" t="s">
        <v>56</v>
      </c>
      <c r="F248" s="34" t="s">
        <v>60</v>
      </c>
      <c r="G248" s="157">
        <f>33000+324500</f>
        <v>357500</v>
      </c>
      <c r="H248" s="158"/>
    </row>
    <row r="249" spans="1:8" x14ac:dyDescent="0.5">
      <c r="A249" s="31"/>
      <c r="B249" s="22"/>
      <c r="C249" s="155">
        <f t="shared" si="11"/>
        <v>10000</v>
      </c>
      <c r="D249" s="156"/>
      <c r="E249" s="22" t="s">
        <v>137</v>
      </c>
      <c r="F249" s="34" t="s">
        <v>141</v>
      </c>
      <c r="G249" s="157">
        <v>10000</v>
      </c>
      <c r="H249" s="158"/>
    </row>
    <row r="250" spans="1:8" x14ac:dyDescent="0.5">
      <c r="A250" s="31"/>
      <c r="B250" s="22"/>
      <c r="C250" s="155">
        <f t="shared" si="11"/>
        <v>62020</v>
      </c>
      <c r="D250" s="156"/>
      <c r="E250" s="22" t="s">
        <v>102</v>
      </c>
      <c r="F250" s="34" t="s">
        <v>142</v>
      </c>
      <c r="G250" s="157">
        <v>0</v>
      </c>
      <c r="H250" s="158"/>
    </row>
    <row r="251" spans="1:8" x14ac:dyDescent="0.5">
      <c r="A251" s="31"/>
      <c r="B251" s="22"/>
      <c r="C251" s="155">
        <f t="shared" si="11"/>
        <v>1174.2</v>
      </c>
      <c r="D251" s="156"/>
      <c r="E251" s="22" t="s">
        <v>138</v>
      </c>
      <c r="F251" s="34" t="s">
        <v>143</v>
      </c>
      <c r="G251" s="157">
        <v>741</v>
      </c>
      <c r="H251" s="158"/>
    </row>
    <row r="252" spans="1:8" x14ac:dyDescent="0.5">
      <c r="A252" s="31"/>
      <c r="B252" s="22"/>
      <c r="C252" s="155">
        <f t="shared" si="11"/>
        <v>1800</v>
      </c>
      <c r="D252" s="156"/>
      <c r="E252" s="22" t="s">
        <v>125</v>
      </c>
      <c r="F252" s="34" t="s">
        <v>144</v>
      </c>
      <c r="G252" s="157">
        <v>0</v>
      </c>
      <c r="H252" s="158"/>
    </row>
    <row r="253" spans="1:8" x14ac:dyDescent="0.5">
      <c r="A253" s="31"/>
      <c r="B253" s="22"/>
      <c r="C253" s="155">
        <f t="shared" si="11"/>
        <v>2100</v>
      </c>
      <c r="D253" s="156"/>
      <c r="E253" s="22" t="s">
        <v>139</v>
      </c>
      <c r="F253" s="34" t="s">
        <v>146</v>
      </c>
      <c r="G253" s="157"/>
      <c r="H253" s="158"/>
    </row>
    <row r="254" spans="1:8" x14ac:dyDescent="0.5">
      <c r="A254" s="31"/>
      <c r="B254" s="22"/>
      <c r="C254" s="155">
        <f t="shared" si="11"/>
        <v>620639</v>
      </c>
      <c r="D254" s="156"/>
      <c r="E254" s="22" t="s">
        <v>115</v>
      </c>
      <c r="F254" s="34" t="s">
        <v>140</v>
      </c>
      <c r="G254" s="157">
        <v>10000</v>
      </c>
      <c r="H254" s="158"/>
    </row>
    <row r="255" spans="1:8" x14ac:dyDescent="0.5">
      <c r="A255" s="31"/>
      <c r="B255" s="22"/>
      <c r="C255" s="155">
        <f t="shared" si="11"/>
        <v>3939.09</v>
      </c>
      <c r="D255" s="156"/>
      <c r="E255" s="22" t="s">
        <v>174</v>
      </c>
      <c r="F255" s="34"/>
      <c r="G255" s="159">
        <v>0</v>
      </c>
      <c r="H255" s="160"/>
    </row>
    <row r="256" spans="1:8" x14ac:dyDescent="0.5">
      <c r="A256" s="31"/>
      <c r="B256" s="22"/>
      <c r="C256" s="155">
        <f t="shared" si="11"/>
        <v>8.14</v>
      </c>
      <c r="D256" s="156"/>
      <c r="E256" s="22" t="s">
        <v>224</v>
      </c>
      <c r="F256" s="34" t="s">
        <v>225</v>
      </c>
      <c r="G256" s="157">
        <v>0</v>
      </c>
      <c r="H256" s="158"/>
    </row>
    <row r="257" spans="1:8" x14ac:dyDescent="0.5">
      <c r="A257" s="31"/>
      <c r="B257" s="22"/>
      <c r="C257" s="155">
        <f t="shared" si="11"/>
        <v>1200</v>
      </c>
      <c r="D257" s="156"/>
      <c r="E257" s="22" t="s">
        <v>7</v>
      </c>
      <c r="F257" s="34"/>
      <c r="G257" s="157">
        <v>1200</v>
      </c>
      <c r="H257" s="158"/>
    </row>
    <row r="258" spans="1:8" x14ac:dyDescent="0.5">
      <c r="A258" s="31"/>
      <c r="B258" s="22"/>
      <c r="C258" s="155">
        <f t="shared" si="11"/>
        <v>1194.8399999999999</v>
      </c>
      <c r="D258" s="156"/>
      <c r="E258" s="22" t="s">
        <v>15</v>
      </c>
      <c r="F258" s="34" t="s">
        <v>181</v>
      </c>
      <c r="G258" s="157">
        <v>0</v>
      </c>
      <c r="H258" s="158"/>
    </row>
    <row r="259" spans="1:8" x14ac:dyDescent="0.5">
      <c r="A259" s="31"/>
      <c r="B259" s="22"/>
      <c r="C259" s="155">
        <f t="shared" si="11"/>
        <v>0</v>
      </c>
      <c r="D259" s="156"/>
      <c r="E259" s="22" t="s">
        <v>170</v>
      </c>
      <c r="F259" s="34" t="s">
        <v>128</v>
      </c>
      <c r="G259" s="157">
        <v>0</v>
      </c>
      <c r="H259" s="158"/>
    </row>
    <row r="260" spans="1:8" x14ac:dyDescent="0.5">
      <c r="A260" s="31"/>
      <c r="B260" s="22"/>
      <c r="C260" s="181">
        <f>SUM(C238:C259)</f>
        <v>26429447.279999997</v>
      </c>
      <c r="D260" s="182"/>
      <c r="E260" s="22"/>
      <c r="F260" s="34"/>
      <c r="G260" s="183">
        <f>SUM(G238:G259)</f>
        <v>8938541.5899999999</v>
      </c>
      <c r="H260" s="184"/>
    </row>
    <row r="261" spans="1:8" ht="24" thickBot="1" x14ac:dyDescent="0.55000000000000004">
      <c r="A261" s="31"/>
      <c r="C261" s="163">
        <f>C236+C260</f>
        <v>86440678.679999992</v>
      </c>
      <c r="D261" s="164"/>
      <c r="E261" s="119" t="s">
        <v>35</v>
      </c>
      <c r="F261" s="30"/>
      <c r="G261" s="163">
        <f>G236+G260</f>
        <v>13708979.719999999</v>
      </c>
      <c r="H261" s="164"/>
    </row>
    <row r="262" spans="1:8" ht="24" thickTop="1" x14ac:dyDescent="0.5"/>
  </sheetData>
  <mergeCells count="508">
    <mergeCell ref="C256:D256"/>
    <mergeCell ref="G256:H256"/>
    <mergeCell ref="C258:D258"/>
    <mergeCell ref="G258:H258"/>
    <mergeCell ref="C259:D259"/>
    <mergeCell ref="G259:H259"/>
    <mergeCell ref="C260:D260"/>
    <mergeCell ref="G260:H260"/>
    <mergeCell ref="C261:D261"/>
    <mergeCell ref="G261:H261"/>
    <mergeCell ref="C242:D242"/>
    <mergeCell ref="G242:H242"/>
    <mergeCell ref="C254:D254"/>
    <mergeCell ref="G254:H254"/>
    <mergeCell ref="C255:D255"/>
    <mergeCell ref="G255:H255"/>
    <mergeCell ref="C246:D246"/>
    <mergeCell ref="G246:H246"/>
    <mergeCell ref="C247:D247"/>
    <mergeCell ref="G247:H247"/>
    <mergeCell ref="C257:D257"/>
    <mergeCell ref="G257:H257"/>
    <mergeCell ref="C251:D251"/>
    <mergeCell ref="G251:H251"/>
    <mergeCell ref="C252:D252"/>
    <mergeCell ref="G252:H252"/>
    <mergeCell ref="C253:D253"/>
    <mergeCell ref="G253:H253"/>
    <mergeCell ref="C237:D237"/>
    <mergeCell ref="G237:H237"/>
    <mergeCell ref="C238:D238"/>
    <mergeCell ref="G238:H238"/>
    <mergeCell ref="C239:D239"/>
    <mergeCell ref="G239:H239"/>
    <mergeCell ref="C240:D240"/>
    <mergeCell ref="G240:H240"/>
    <mergeCell ref="C248:D248"/>
    <mergeCell ref="G248:H248"/>
    <mergeCell ref="C249:D249"/>
    <mergeCell ref="G249:H249"/>
    <mergeCell ref="C250:D250"/>
    <mergeCell ref="G250:H250"/>
    <mergeCell ref="C241:D241"/>
    <mergeCell ref="G241:H241"/>
    <mergeCell ref="C235:D235"/>
    <mergeCell ref="G235:H235"/>
    <mergeCell ref="C236:D236"/>
    <mergeCell ref="G236:H236"/>
    <mergeCell ref="C123:D123"/>
    <mergeCell ref="G123:H123"/>
    <mergeCell ref="C167:D167"/>
    <mergeCell ref="G167:H167"/>
    <mergeCell ref="C213:D213"/>
    <mergeCell ref="G213:H213"/>
    <mergeCell ref="C226:D226"/>
    <mergeCell ref="G226:H226"/>
    <mergeCell ref="C227:D227"/>
    <mergeCell ref="G227:H227"/>
    <mergeCell ref="C243:D243"/>
    <mergeCell ref="G243:H243"/>
    <mergeCell ref="C244:D244"/>
    <mergeCell ref="G244:H244"/>
    <mergeCell ref="C245:D245"/>
    <mergeCell ref="G245:H245"/>
    <mergeCell ref="C228:D228"/>
    <mergeCell ref="G228:H228"/>
    <mergeCell ref="C229:D229"/>
    <mergeCell ref="G229:H229"/>
    <mergeCell ref="C230:D230"/>
    <mergeCell ref="G230:H230"/>
    <mergeCell ref="C231:D231"/>
    <mergeCell ref="G231:H231"/>
    <mergeCell ref="C232:D232"/>
    <mergeCell ref="G232:H232"/>
    <mergeCell ref="C233:D233"/>
    <mergeCell ref="G233:H233"/>
    <mergeCell ref="C234:D234"/>
    <mergeCell ref="G234:H234"/>
    <mergeCell ref="A223:D223"/>
    <mergeCell ref="F223:H223"/>
    <mergeCell ref="A224:B224"/>
    <mergeCell ref="C224:D224"/>
    <mergeCell ref="E224:E225"/>
    <mergeCell ref="G224:H224"/>
    <mergeCell ref="A225:B225"/>
    <mergeCell ref="C225:D225"/>
    <mergeCell ref="G225:H225"/>
    <mergeCell ref="C181:D181"/>
    <mergeCell ref="G181:H181"/>
    <mergeCell ref="C182:D182"/>
    <mergeCell ref="G182:H182"/>
    <mergeCell ref="A218:H218"/>
    <mergeCell ref="A219:H219"/>
    <mergeCell ref="F220:H220"/>
    <mergeCell ref="A221:H221"/>
    <mergeCell ref="F222:H222"/>
    <mergeCell ref="G216:H216"/>
    <mergeCell ref="C216:D216"/>
    <mergeCell ref="G217:H217"/>
    <mergeCell ref="C217:D217"/>
    <mergeCell ref="C169:D169"/>
    <mergeCell ref="G169:H169"/>
    <mergeCell ref="C171:D171"/>
    <mergeCell ref="G171:H171"/>
    <mergeCell ref="C172:D172"/>
    <mergeCell ref="G172:H172"/>
    <mergeCell ref="C173:D173"/>
    <mergeCell ref="G173:H173"/>
    <mergeCell ref="A174:H174"/>
    <mergeCell ref="A175:H175"/>
    <mergeCell ref="F176:H176"/>
    <mergeCell ref="A177:H177"/>
    <mergeCell ref="F178:H178"/>
    <mergeCell ref="A179:D179"/>
    <mergeCell ref="F179:H179"/>
    <mergeCell ref="A180:B180"/>
    <mergeCell ref="C180:D180"/>
    <mergeCell ref="E180:E181"/>
    <mergeCell ref="G180:H180"/>
    <mergeCell ref="A181:B181"/>
    <mergeCell ref="C163:D163"/>
    <mergeCell ref="G163:H163"/>
    <mergeCell ref="C164:D164"/>
    <mergeCell ref="G164:H164"/>
    <mergeCell ref="C165:D165"/>
    <mergeCell ref="G165:H165"/>
    <mergeCell ref="C166:D166"/>
    <mergeCell ref="G166:H166"/>
    <mergeCell ref="C168:D168"/>
    <mergeCell ref="G168:H168"/>
    <mergeCell ref="C158:D158"/>
    <mergeCell ref="G158:H158"/>
    <mergeCell ref="C159:D159"/>
    <mergeCell ref="G159:H159"/>
    <mergeCell ref="C160:D160"/>
    <mergeCell ref="G160:H160"/>
    <mergeCell ref="C161:D161"/>
    <mergeCell ref="G161:H161"/>
    <mergeCell ref="C162:D162"/>
    <mergeCell ref="G162:H162"/>
    <mergeCell ref="C153:D153"/>
    <mergeCell ref="G153:H153"/>
    <mergeCell ref="C154:D154"/>
    <mergeCell ref="G154:H154"/>
    <mergeCell ref="C155:D155"/>
    <mergeCell ref="G155:H155"/>
    <mergeCell ref="C156:D156"/>
    <mergeCell ref="G156:H156"/>
    <mergeCell ref="C157:D157"/>
    <mergeCell ref="G157:H157"/>
    <mergeCell ref="C148:D148"/>
    <mergeCell ref="G148:H148"/>
    <mergeCell ref="C149:D149"/>
    <mergeCell ref="G149:H149"/>
    <mergeCell ref="C150:D150"/>
    <mergeCell ref="G150:H150"/>
    <mergeCell ref="C151:D151"/>
    <mergeCell ref="G151:H151"/>
    <mergeCell ref="C152:D152"/>
    <mergeCell ref="G152:H152"/>
    <mergeCell ref="C143:D143"/>
    <mergeCell ref="G143:H143"/>
    <mergeCell ref="C144:D144"/>
    <mergeCell ref="G144:H144"/>
    <mergeCell ref="C145:D145"/>
    <mergeCell ref="G145:H145"/>
    <mergeCell ref="C146:D146"/>
    <mergeCell ref="G146:H146"/>
    <mergeCell ref="C147:D147"/>
    <mergeCell ref="G147:H147"/>
    <mergeCell ref="C138:D138"/>
    <mergeCell ref="G138:H138"/>
    <mergeCell ref="C139:D139"/>
    <mergeCell ref="G139:H139"/>
    <mergeCell ref="C140:D140"/>
    <mergeCell ref="G140:H140"/>
    <mergeCell ref="C141:D141"/>
    <mergeCell ref="G141:H141"/>
    <mergeCell ref="C142:D142"/>
    <mergeCell ref="G142:H142"/>
    <mergeCell ref="C118:D118"/>
    <mergeCell ref="A130:H130"/>
    <mergeCell ref="A131:H131"/>
    <mergeCell ref="F132:H132"/>
    <mergeCell ref="A133:H133"/>
    <mergeCell ref="F134:H134"/>
    <mergeCell ref="A135:D135"/>
    <mergeCell ref="F135:H135"/>
    <mergeCell ref="A136:B136"/>
    <mergeCell ref="C136:D136"/>
    <mergeCell ref="E136:E137"/>
    <mergeCell ref="G136:H136"/>
    <mergeCell ref="A137:B137"/>
    <mergeCell ref="C137:D137"/>
    <mergeCell ref="G137:H137"/>
    <mergeCell ref="C116:D116"/>
    <mergeCell ref="G116:H116"/>
    <mergeCell ref="C117:D117"/>
    <mergeCell ref="C106:D106"/>
    <mergeCell ref="G106:H106"/>
    <mergeCell ref="C107:D107"/>
    <mergeCell ref="G107:H107"/>
    <mergeCell ref="C108:D108"/>
    <mergeCell ref="G108:H108"/>
    <mergeCell ref="G117:H117"/>
    <mergeCell ref="C104:D104"/>
    <mergeCell ref="G104:H104"/>
    <mergeCell ref="C105:D105"/>
    <mergeCell ref="G105:H105"/>
    <mergeCell ref="C127:D127"/>
    <mergeCell ref="G127:H127"/>
    <mergeCell ref="C128:D128"/>
    <mergeCell ref="G128:H128"/>
    <mergeCell ref="C129:D129"/>
    <mergeCell ref="G129:H129"/>
    <mergeCell ref="C113:D113"/>
    <mergeCell ref="G113:H113"/>
    <mergeCell ref="C120:D120"/>
    <mergeCell ref="G120:H120"/>
    <mergeCell ref="C121:D121"/>
    <mergeCell ref="G121:H121"/>
    <mergeCell ref="C122:D122"/>
    <mergeCell ref="G122:H122"/>
    <mergeCell ref="C124:D124"/>
    <mergeCell ref="G124:H124"/>
    <mergeCell ref="C125:D125"/>
    <mergeCell ref="G125:H125"/>
    <mergeCell ref="C115:D115"/>
    <mergeCell ref="G115:H115"/>
    <mergeCell ref="G99:H99"/>
    <mergeCell ref="C100:D100"/>
    <mergeCell ref="G100:H100"/>
    <mergeCell ref="C101:D101"/>
    <mergeCell ref="G101:H101"/>
    <mergeCell ref="C102:D102"/>
    <mergeCell ref="G102:H102"/>
    <mergeCell ref="C103:D103"/>
    <mergeCell ref="G103:H103"/>
    <mergeCell ref="C94:D94"/>
    <mergeCell ref="G94:H94"/>
    <mergeCell ref="C95:D95"/>
    <mergeCell ref="G95:H95"/>
    <mergeCell ref="C96:D96"/>
    <mergeCell ref="G96:H96"/>
    <mergeCell ref="G118:H118"/>
    <mergeCell ref="C119:D119"/>
    <mergeCell ref="G119:H119"/>
    <mergeCell ref="C109:D109"/>
    <mergeCell ref="G109:H109"/>
    <mergeCell ref="C110:D110"/>
    <mergeCell ref="G110:H110"/>
    <mergeCell ref="C111:D111"/>
    <mergeCell ref="G111:H111"/>
    <mergeCell ref="C112:D112"/>
    <mergeCell ref="G112:H112"/>
    <mergeCell ref="C114:D114"/>
    <mergeCell ref="G114:H114"/>
    <mergeCell ref="C97:D97"/>
    <mergeCell ref="G97:H97"/>
    <mergeCell ref="C98:D98"/>
    <mergeCell ref="G98:H98"/>
    <mergeCell ref="C99:D99"/>
    <mergeCell ref="A86:H86"/>
    <mergeCell ref="A87:H87"/>
    <mergeCell ref="F88:H88"/>
    <mergeCell ref="A89:H89"/>
    <mergeCell ref="F90:H90"/>
    <mergeCell ref="A91:D91"/>
    <mergeCell ref="F91:H91"/>
    <mergeCell ref="A92:B92"/>
    <mergeCell ref="C92:D92"/>
    <mergeCell ref="E92:E93"/>
    <mergeCell ref="G92:H92"/>
    <mergeCell ref="A93:B93"/>
    <mergeCell ref="C93:D93"/>
    <mergeCell ref="G93:H93"/>
    <mergeCell ref="C83:D83"/>
    <mergeCell ref="G83:H83"/>
    <mergeCell ref="C84:D84"/>
    <mergeCell ref="G84:H84"/>
    <mergeCell ref="C85:D85"/>
    <mergeCell ref="G85:H85"/>
    <mergeCell ref="C79:D79"/>
    <mergeCell ref="G79:H79"/>
    <mergeCell ref="C81:D81"/>
    <mergeCell ref="G81:H81"/>
    <mergeCell ref="C82:D82"/>
    <mergeCell ref="G82:H82"/>
    <mergeCell ref="G80:H80"/>
    <mergeCell ref="C80:D80"/>
    <mergeCell ref="C76:D76"/>
    <mergeCell ref="G76:H76"/>
    <mergeCell ref="C77:D77"/>
    <mergeCell ref="G77:H77"/>
    <mergeCell ref="C78:D78"/>
    <mergeCell ref="G78:H78"/>
    <mergeCell ref="C73:D73"/>
    <mergeCell ref="G73:H73"/>
    <mergeCell ref="C74:D74"/>
    <mergeCell ref="G74:H74"/>
    <mergeCell ref="C75:D75"/>
    <mergeCell ref="G75:H75"/>
    <mergeCell ref="C70:D70"/>
    <mergeCell ref="G70:H70"/>
    <mergeCell ref="C71:D71"/>
    <mergeCell ref="G71:H71"/>
    <mergeCell ref="C72:D72"/>
    <mergeCell ref="G72:H72"/>
    <mergeCell ref="C67:D67"/>
    <mergeCell ref="G67:H67"/>
    <mergeCell ref="C68:D68"/>
    <mergeCell ref="G68:H68"/>
    <mergeCell ref="C69:D69"/>
    <mergeCell ref="G69:H69"/>
    <mergeCell ref="C64:D64"/>
    <mergeCell ref="G64:H64"/>
    <mergeCell ref="C65:D65"/>
    <mergeCell ref="G65:H65"/>
    <mergeCell ref="C66:D66"/>
    <mergeCell ref="G66:H66"/>
    <mergeCell ref="C61:D61"/>
    <mergeCell ref="G61:H61"/>
    <mergeCell ref="C62:D62"/>
    <mergeCell ref="G62:H62"/>
    <mergeCell ref="C63:D63"/>
    <mergeCell ref="G63:H63"/>
    <mergeCell ref="C58:D58"/>
    <mergeCell ref="G58:H58"/>
    <mergeCell ref="C37:D37"/>
    <mergeCell ref="G37:H37"/>
    <mergeCell ref="C59:D59"/>
    <mergeCell ref="G59:H59"/>
    <mergeCell ref="C60:D60"/>
    <mergeCell ref="G60:H60"/>
    <mergeCell ref="C55:D55"/>
    <mergeCell ref="G55:H55"/>
    <mergeCell ref="C56:D56"/>
    <mergeCell ref="G56:H56"/>
    <mergeCell ref="C57:D57"/>
    <mergeCell ref="G57:H57"/>
    <mergeCell ref="C52:D52"/>
    <mergeCell ref="G52:H52"/>
    <mergeCell ref="C53:D53"/>
    <mergeCell ref="G53:H53"/>
    <mergeCell ref="C54:D54"/>
    <mergeCell ref="G54:H54"/>
    <mergeCell ref="A49:D49"/>
    <mergeCell ref="F49:H49"/>
    <mergeCell ref="A50:B50"/>
    <mergeCell ref="C50:D50"/>
    <mergeCell ref="E50:E51"/>
    <mergeCell ref="G50:H50"/>
    <mergeCell ref="A51:B51"/>
    <mergeCell ref="C51:D51"/>
    <mergeCell ref="G51:H51"/>
    <mergeCell ref="A44:H44"/>
    <mergeCell ref="A45:H45"/>
    <mergeCell ref="F46:H46"/>
    <mergeCell ref="A47:H47"/>
    <mergeCell ref="F48:H48"/>
    <mergeCell ref="C42:D42"/>
    <mergeCell ref="G42:H42"/>
    <mergeCell ref="C30:D30"/>
    <mergeCell ref="G30:H30"/>
    <mergeCell ref="C41:D41"/>
    <mergeCell ref="G41:H41"/>
    <mergeCell ref="C39:D39"/>
    <mergeCell ref="G39:H39"/>
    <mergeCell ref="C40:D40"/>
    <mergeCell ref="G40:H40"/>
    <mergeCell ref="C36:D36"/>
    <mergeCell ref="G36:H36"/>
    <mergeCell ref="C38:D38"/>
    <mergeCell ref="G38:H38"/>
    <mergeCell ref="C34:D34"/>
    <mergeCell ref="G34:H34"/>
    <mergeCell ref="C35:D35"/>
    <mergeCell ref="G35:H35"/>
    <mergeCell ref="C28:D28"/>
    <mergeCell ref="G28:H28"/>
    <mergeCell ref="C31:D31"/>
    <mergeCell ref="G31:H31"/>
    <mergeCell ref="C32:D32"/>
    <mergeCell ref="G32:H32"/>
    <mergeCell ref="C33:D33"/>
    <mergeCell ref="G33:H33"/>
    <mergeCell ref="C29:D29"/>
    <mergeCell ref="G29:H29"/>
    <mergeCell ref="C26:D26"/>
    <mergeCell ref="G26:H26"/>
    <mergeCell ref="C21:D21"/>
    <mergeCell ref="G21:H21"/>
    <mergeCell ref="C23:D23"/>
    <mergeCell ref="G23:H23"/>
    <mergeCell ref="C20:D20"/>
    <mergeCell ref="G20:H20"/>
    <mergeCell ref="A1:H1"/>
    <mergeCell ref="A2:H2"/>
    <mergeCell ref="F3:H3"/>
    <mergeCell ref="A4:H4"/>
    <mergeCell ref="C9:D9"/>
    <mergeCell ref="G9:H9"/>
    <mergeCell ref="F5:H5"/>
    <mergeCell ref="A6:D6"/>
    <mergeCell ref="A8:B8"/>
    <mergeCell ref="A7:B7"/>
    <mergeCell ref="F6:H6"/>
    <mergeCell ref="C7:D7"/>
    <mergeCell ref="E7:E8"/>
    <mergeCell ref="G7:H7"/>
    <mergeCell ref="C22:D22"/>
    <mergeCell ref="G22:H22"/>
    <mergeCell ref="G16:H16"/>
    <mergeCell ref="C19:D19"/>
    <mergeCell ref="G19:H19"/>
    <mergeCell ref="C16:D16"/>
    <mergeCell ref="C24:D24"/>
    <mergeCell ref="G24:H24"/>
    <mergeCell ref="C25:D25"/>
    <mergeCell ref="G25:H25"/>
    <mergeCell ref="C183:D183"/>
    <mergeCell ref="G183:H183"/>
    <mergeCell ref="C184:D184"/>
    <mergeCell ref="G184:H184"/>
    <mergeCell ref="G13:H13"/>
    <mergeCell ref="C12:D12"/>
    <mergeCell ref="G8:H8"/>
    <mergeCell ref="C8:D8"/>
    <mergeCell ref="C10:D10"/>
    <mergeCell ref="G10:H10"/>
    <mergeCell ref="C18:D18"/>
    <mergeCell ref="G18:H18"/>
    <mergeCell ref="C17:D17"/>
    <mergeCell ref="G17:H17"/>
    <mergeCell ref="G15:H15"/>
    <mergeCell ref="C15:D15"/>
    <mergeCell ref="C14:D14"/>
    <mergeCell ref="G14:H14"/>
    <mergeCell ref="C11:D11"/>
    <mergeCell ref="G11:H11"/>
    <mergeCell ref="G12:H12"/>
    <mergeCell ref="C13:D13"/>
    <mergeCell ref="C27:D27"/>
    <mergeCell ref="G27:H27"/>
    <mergeCell ref="C185:D185"/>
    <mergeCell ref="G185:H185"/>
    <mergeCell ref="C186:D186"/>
    <mergeCell ref="G186:H186"/>
    <mergeCell ref="C187:D187"/>
    <mergeCell ref="G187:H187"/>
    <mergeCell ref="C188:D188"/>
    <mergeCell ref="G188:H188"/>
    <mergeCell ref="C189:D189"/>
    <mergeCell ref="G189:H189"/>
    <mergeCell ref="C202:D202"/>
    <mergeCell ref="G202:H202"/>
    <mergeCell ref="C190:D190"/>
    <mergeCell ref="G190:H190"/>
    <mergeCell ref="C191:D191"/>
    <mergeCell ref="G191:H191"/>
    <mergeCell ref="C192:D192"/>
    <mergeCell ref="G192:H192"/>
    <mergeCell ref="C193:D193"/>
    <mergeCell ref="G193:H193"/>
    <mergeCell ref="C194:D194"/>
    <mergeCell ref="G194:H194"/>
    <mergeCell ref="C211:D211"/>
    <mergeCell ref="G211:H211"/>
    <mergeCell ref="C212:D212"/>
    <mergeCell ref="G212:H212"/>
    <mergeCell ref="C215:D215"/>
    <mergeCell ref="G215:H215"/>
    <mergeCell ref="C204:D204"/>
    <mergeCell ref="G204:H204"/>
    <mergeCell ref="C205:D205"/>
    <mergeCell ref="G205:H205"/>
    <mergeCell ref="C206:D206"/>
    <mergeCell ref="G206:H206"/>
    <mergeCell ref="C207:D207"/>
    <mergeCell ref="G207:H207"/>
    <mergeCell ref="C208:D208"/>
    <mergeCell ref="G208:H208"/>
    <mergeCell ref="C214:D214"/>
    <mergeCell ref="G214:H214"/>
    <mergeCell ref="C170:D170"/>
    <mergeCell ref="G170:H170"/>
    <mergeCell ref="C126:D126"/>
    <mergeCell ref="G126:H126"/>
    <mergeCell ref="C203:D203"/>
    <mergeCell ref="G203:H203"/>
    <mergeCell ref="C209:D209"/>
    <mergeCell ref="G209:H209"/>
    <mergeCell ref="C210:D210"/>
    <mergeCell ref="G210:H210"/>
    <mergeCell ref="C195:D195"/>
    <mergeCell ref="G195:H195"/>
    <mergeCell ref="C196:D196"/>
    <mergeCell ref="G196:H196"/>
    <mergeCell ref="C197:D197"/>
    <mergeCell ref="G197:H197"/>
    <mergeCell ref="C198:D198"/>
    <mergeCell ref="G198:H198"/>
    <mergeCell ref="C199:D199"/>
    <mergeCell ref="G199:H199"/>
    <mergeCell ref="C200:D200"/>
    <mergeCell ref="G200:H200"/>
    <mergeCell ref="C201:D201"/>
    <mergeCell ref="G201:H201"/>
  </mergeCells>
  <phoneticPr fontId="0" type="noConversion"/>
  <pageMargins left="0.59055118110236227" right="0.19685039370078741" top="0.11811023622047245" bottom="0.11811023622047245" header="0.51181102362204722" footer="0.51181102362204722"/>
  <pageSetup paperSize="9" scale="81" orientation="portrait" r:id="rId1"/>
  <headerFooter alignWithMargins="0"/>
  <rowBreaks count="5" manualBreakCount="5">
    <brk id="43" max="16383" man="1"/>
    <brk id="85" max="9" man="1"/>
    <brk id="129" max="16383" man="1"/>
    <brk id="173" max="9" man="1"/>
    <brk id="21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5"/>
  <sheetViews>
    <sheetView view="pageBreakPreview" topLeftCell="A307" zoomScaleSheetLayoutView="100" workbookViewId="0">
      <selection activeCell="F319" sqref="F319"/>
    </sheetView>
  </sheetViews>
  <sheetFormatPr defaultColWidth="8.796875" defaultRowHeight="20.25" customHeight="1" x14ac:dyDescent="0.5"/>
  <cols>
    <col min="1" max="1" width="21.796875" style="31" customWidth="1"/>
    <col min="2" max="2" width="5.19921875" style="22" customWidth="1"/>
    <col min="3" max="3" width="1.19921875" style="22" customWidth="1"/>
    <col min="4" max="4" width="20.796875" style="22" customWidth="1"/>
    <col min="5" max="5" width="62.59765625" style="22" customWidth="1"/>
    <col min="6" max="6" width="18.796875" style="22" customWidth="1"/>
    <col min="7" max="7" width="4" style="22" customWidth="1"/>
    <col min="8" max="8" width="25.3984375" style="22" customWidth="1"/>
    <col min="9" max="9" width="21.796875" style="22" customWidth="1"/>
    <col min="10" max="11" width="28.796875" style="31" customWidth="1"/>
    <col min="12" max="12" width="28.796875" style="22" customWidth="1"/>
    <col min="13" max="16384" width="8.796875" style="22"/>
  </cols>
  <sheetData>
    <row r="1" spans="1:8" ht="23.25" customHeight="1" thickBot="1" x14ac:dyDescent="0.55000000000000004">
      <c r="G1" s="26" t="s">
        <v>200</v>
      </c>
    </row>
    <row r="2" spans="1:8" ht="25.5" customHeight="1" thickTop="1" x14ac:dyDescent="0.5">
      <c r="A2" s="190" t="s">
        <v>18</v>
      </c>
      <c r="B2" s="191"/>
      <c r="C2" s="191"/>
      <c r="D2" s="192"/>
      <c r="E2" s="68"/>
      <c r="F2" s="190" t="s">
        <v>19</v>
      </c>
      <c r="G2" s="191"/>
      <c r="H2" s="192"/>
    </row>
    <row r="3" spans="1:8" ht="26.25" customHeight="1" x14ac:dyDescent="0.5">
      <c r="A3" s="197" t="s">
        <v>20</v>
      </c>
      <c r="B3" s="198"/>
      <c r="C3" s="197" t="s">
        <v>22</v>
      </c>
      <c r="D3" s="198"/>
      <c r="E3" s="193" t="s">
        <v>0</v>
      </c>
      <c r="F3" s="69" t="s">
        <v>23</v>
      </c>
      <c r="G3" s="197" t="s">
        <v>22</v>
      </c>
      <c r="H3" s="198"/>
    </row>
    <row r="4" spans="1:8" ht="23.25" customHeight="1" thickBot="1" x14ac:dyDescent="0.55000000000000004">
      <c r="A4" s="195" t="s">
        <v>21</v>
      </c>
      <c r="B4" s="196"/>
      <c r="C4" s="195" t="s">
        <v>21</v>
      </c>
      <c r="D4" s="196"/>
      <c r="E4" s="194"/>
      <c r="F4" s="70" t="s">
        <v>24</v>
      </c>
      <c r="G4" s="195" t="s">
        <v>21</v>
      </c>
      <c r="H4" s="196"/>
    </row>
    <row r="5" spans="1:8" ht="20.25" customHeight="1" thickTop="1" x14ac:dyDescent="0.5">
      <c r="A5" s="32"/>
      <c r="B5" s="33"/>
      <c r="C5" s="165"/>
      <c r="D5" s="166"/>
      <c r="E5" s="26" t="s">
        <v>36</v>
      </c>
      <c r="F5" s="34"/>
      <c r="G5" s="165"/>
      <c r="H5" s="166"/>
    </row>
    <row r="6" spans="1:8" ht="20.25" customHeight="1" x14ac:dyDescent="0.5">
      <c r="A6" s="35">
        <v>21297500</v>
      </c>
      <c r="B6" s="36" t="s">
        <v>16</v>
      </c>
      <c r="C6" s="157">
        <f>G6</f>
        <v>0</v>
      </c>
      <c r="D6" s="158"/>
      <c r="E6" s="22" t="s">
        <v>12</v>
      </c>
      <c r="F6" s="34" t="s">
        <v>62</v>
      </c>
      <c r="G6" s="157"/>
      <c r="H6" s="158"/>
    </row>
    <row r="7" spans="1:8" ht="20.25" customHeight="1" x14ac:dyDescent="0.5">
      <c r="A7" s="35">
        <f>756000+480000+247500+1620000+3116486+373200+240000+1600080+299160+42000+809340+58080+42000+3439694+31440+387600+67200+1015440+177840+42000+729900+36000+120000</f>
        <v>15730960</v>
      </c>
      <c r="B7" s="36" t="s">
        <v>16</v>
      </c>
      <c r="C7" s="157">
        <f t="shared" ref="C7:C17" si="0">G7</f>
        <v>503972</v>
      </c>
      <c r="D7" s="158"/>
      <c r="E7" s="22" t="s">
        <v>4</v>
      </c>
      <c r="F7" s="34" t="s">
        <v>85</v>
      </c>
      <c r="G7" s="157">
        <v>503972</v>
      </c>
      <c r="H7" s="158"/>
    </row>
    <row r="8" spans="1:8" ht="20.25" customHeight="1" x14ac:dyDescent="0.5">
      <c r="A8" s="35">
        <f>1928880+1092120+996960+594240+1165200+730800+78000+31000+997200+694800+640800+457200</f>
        <v>9407200</v>
      </c>
      <c r="B8" s="36" t="s">
        <v>16</v>
      </c>
      <c r="C8" s="157">
        <f t="shared" si="0"/>
        <v>644390</v>
      </c>
      <c r="D8" s="158"/>
      <c r="E8" s="22" t="s">
        <v>5</v>
      </c>
      <c r="F8" s="34" t="s">
        <v>86</v>
      </c>
      <c r="G8" s="157">
        <v>644390</v>
      </c>
      <c r="H8" s="158"/>
    </row>
    <row r="9" spans="1:8" ht="20.25" customHeight="1" x14ac:dyDescent="0.5">
      <c r="A9" s="35">
        <f>152000+1430000+400000+60000+30000+50000</f>
        <v>2122000</v>
      </c>
      <c r="B9" s="36" t="s">
        <v>16</v>
      </c>
      <c r="C9" s="157">
        <f t="shared" si="0"/>
        <v>6000</v>
      </c>
      <c r="D9" s="158"/>
      <c r="E9" s="22" t="s">
        <v>6</v>
      </c>
      <c r="F9" s="34" t="s">
        <v>64</v>
      </c>
      <c r="G9" s="157">
        <v>6000</v>
      </c>
      <c r="H9" s="158"/>
    </row>
    <row r="10" spans="1:8" ht="20.25" customHeight="1" x14ac:dyDescent="0.5">
      <c r="A10" s="35">
        <f>347000+4100000+2453500+3666000+3806600+1328000</f>
        <v>15701100</v>
      </c>
      <c r="B10" s="36" t="s">
        <v>16</v>
      </c>
      <c r="C10" s="157">
        <f t="shared" si="0"/>
        <v>30300</v>
      </c>
      <c r="D10" s="158"/>
      <c r="E10" s="22" t="s">
        <v>7</v>
      </c>
      <c r="F10" s="34" t="s">
        <v>65</v>
      </c>
      <c r="G10" s="157">
        <v>30300</v>
      </c>
      <c r="H10" s="158"/>
    </row>
    <row r="11" spans="1:8" ht="20.25" customHeight="1" x14ac:dyDescent="0.5">
      <c r="A11" s="35">
        <f>210000+980000+839000+1540000+1276240+280000</f>
        <v>5125240</v>
      </c>
      <c r="B11" s="36" t="s">
        <v>16</v>
      </c>
      <c r="C11" s="157">
        <f t="shared" si="0"/>
        <v>20000</v>
      </c>
      <c r="D11" s="158"/>
      <c r="E11" s="22" t="s">
        <v>8</v>
      </c>
      <c r="F11" s="34" t="s">
        <v>66</v>
      </c>
      <c r="G11" s="157">
        <v>20000</v>
      </c>
      <c r="H11" s="158"/>
    </row>
    <row r="12" spans="1:8" ht="20.25" customHeight="1" x14ac:dyDescent="0.5">
      <c r="A12" s="35">
        <v>930000</v>
      </c>
      <c r="B12" s="36" t="s">
        <v>16</v>
      </c>
      <c r="C12" s="157">
        <f t="shared" si="0"/>
        <v>0</v>
      </c>
      <c r="D12" s="158"/>
      <c r="E12" s="22" t="s">
        <v>9</v>
      </c>
      <c r="F12" s="34" t="s">
        <v>67</v>
      </c>
      <c r="G12" s="157"/>
      <c r="H12" s="158"/>
    </row>
    <row r="13" spans="1:8" ht="20.25" customHeight="1" x14ac:dyDescent="0.5">
      <c r="A13" s="35">
        <f>1048000+942000</f>
        <v>1990000</v>
      </c>
      <c r="B13" s="36"/>
      <c r="C13" s="157">
        <f t="shared" si="0"/>
        <v>0</v>
      </c>
      <c r="D13" s="158"/>
      <c r="E13" s="22" t="s">
        <v>13</v>
      </c>
      <c r="F13" s="34" t="s">
        <v>68</v>
      </c>
      <c r="G13" s="157"/>
      <c r="H13" s="158"/>
    </row>
    <row r="14" spans="1:8" ht="20.25" customHeight="1" x14ac:dyDescent="0.5">
      <c r="A14" s="35">
        <f>140000+118000+799400+3243800+137000+912800</f>
        <v>5351000</v>
      </c>
      <c r="B14" s="36" t="s">
        <v>16</v>
      </c>
      <c r="C14" s="157">
        <f t="shared" si="0"/>
        <v>0</v>
      </c>
      <c r="D14" s="158"/>
      <c r="E14" s="22" t="s">
        <v>10</v>
      </c>
      <c r="F14" s="34" t="s">
        <v>69</v>
      </c>
      <c r="G14" s="157"/>
      <c r="H14" s="158"/>
    </row>
    <row r="15" spans="1:8" ht="20.25" customHeight="1" x14ac:dyDescent="0.5">
      <c r="A15" s="13">
        <f>310000+8231000+650000</f>
        <v>9191000</v>
      </c>
      <c r="B15" s="36"/>
      <c r="C15" s="157">
        <f t="shared" si="0"/>
        <v>0</v>
      </c>
      <c r="D15" s="158"/>
      <c r="E15" s="22" t="s">
        <v>96</v>
      </c>
      <c r="F15" s="34" t="s">
        <v>70</v>
      </c>
      <c r="G15" s="157">
        <v>0</v>
      </c>
      <c r="H15" s="158"/>
    </row>
    <row r="16" spans="1:8" ht="20.25" customHeight="1" x14ac:dyDescent="0.5">
      <c r="A16" s="13"/>
      <c r="B16" s="36"/>
      <c r="C16" s="157">
        <f t="shared" si="0"/>
        <v>0</v>
      </c>
      <c r="D16" s="158"/>
      <c r="E16" s="22" t="s">
        <v>97</v>
      </c>
      <c r="F16" s="37" t="s">
        <v>94</v>
      </c>
      <c r="G16" s="157"/>
      <c r="H16" s="158"/>
    </row>
    <row r="17" spans="1:8" ht="20.25" customHeight="1" thickBot="1" x14ac:dyDescent="0.55000000000000004">
      <c r="A17" s="71">
        <f>SUM(A6:A16)</f>
        <v>86846000</v>
      </c>
      <c r="B17" s="72" t="s">
        <v>16</v>
      </c>
      <c r="C17" s="188">
        <f t="shared" si="0"/>
        <v>1204662</v>
      </c>
      <c r="D17" s="189"/>
      <c r="E17" s="73"/>
      <c r="F17" s="34"/>
      <c r="G17" s="188">
        <f>SUM(G6:G16)</f>
        <v>1204662</v>
      </c>
      <c r="H17" s="189"/>
    </row>
    <row r="18" spans="1:8" ht="20.25" customHeight="1" thickTop="1" x14ac:dyDescent="0.5">
      <c r="C18" s="165">
        <f>G18</f>
        <v>0</v>
      </c>
      <c r="D18" s="166"/>
      <c r="E18" s="65" t="s">
        <v>134</v>
      </c>
      <c r="F18" s="34"/>
      <c r="G18" s="165">
        <v>0</v>
      </c>
      <c r="H18" s="166"/>
    </row>
    <row r="19" spans="1:8" ht="20.25" customHeight="1" x14ac:dyDescent="0.5">
      <c r="A19" s="31">
        <f>A17-86846000</f>
        <v>0</v>
      </c>
      <c r="C19" s="155">
        <f>G19</f>
        <v>0</v>
      </c>
      <c r="D19" s="156"/>
      <c r="E19" s="38" t="s">
        <v>136</v>
      </c>
      <c r="F19" s="34"/>
      <c r="G19" s="155">
        <v>0</v>
      </c>
      <c r="H19" s="156"/>
    </row>
    <row r="20" spans="1:8" ht="20.25" customHeight="1" x14ac:dyDescent="0.5">
      <c r="C20" s="157">
        <f t="shared" ref="C20:C38" si="1">G20</f>
        <v>0</v>
      </c>
      <c r="D20" s="158"/>
      <c r="E20" s="38" t="s">
        <v>98</v>
      </c>
      <c r="F20" s="34"/>
      <c r="G20" s="157">
        <v>0</v>
      </c>
      <c r="H20" s="158"/>
    </row>
    <row r="21" spans="1:8" ht="20.25" customHeight="1" x14ac:dyDescent="0.5">
      <c r="C21" s="157">
        <f t="shared" si="1"/>
        <v>0</v>
      </c>
      <c r="D21" s="158"/>
      <c r="E21" s="43" t="s">
        <v>135</v>
      </c>
      <c r="F21" s="34"/>
      <c r="G21" s="157">
        <v>0</v>
      </c>
      <c r="H21" s="158"/>
    </row>
    <row r="22" spans="1:8" ht="20.25" customHeight="1" x14ac:dyDescent="0.5">
      <c r="C22" s="113">
        <f t="shared" si="1"/>
        <v>0</v>
      </c>
      <c r="D22" s="114"/>
      <c r="E22" s="22" t="s">
        <v>12</v>
      </c>
      <c r="F22" s="34"/>
      <c r="G22" s="157">
        <v>0</v>
      </c>
      <c r="H22" s="158"/>
    </row>
    <row r="23" spans="1:8" ht="20.25" customHeight="1" x14ac:dyDescent="0.5">
      <c r="C23" s="113">
        <f t="shared" si="1"/>
        <v>0</v>
      </c>
      <c r="D23" s="114"/>
      <c r="E23" s="22" t="s">
        <v>4</v>
      </c>
      <c r="F23" s="34"/>
      <c r="G23" s="157">
        <v>0</v>
      </c>
      <c r="H23" s="158"/>
    </row>
    <row r="24" spans="1:8" ht="20.25" customHeight="1" x14ac:dyDescent="0.5">
      <c r="C24" s="113">
        <f t="shared" si="1"/>
        <v>0</v>
      </c>
      <c r="D24" s="114"/>
      <c r="E24" s="22" t="s">
        <v>5</v>
      </c>
      <c r="F24" s="34"/>
      <c r="G24" s="157">
        <v>0</v>
      </c>
      <c r="H24" s="158"/>
    </row>
    <row r="25" spans="1:8" ht="20.25" customHeight="1" x14ac:dyDescent="0.5">
      <c r="C25" s="113">
        <f t="shared" si="1"/>
        <v>0</v>
      </c>
      <c r="D25" s="114"/>
      <c r="E25" s="22" t="s">
        <v>8</v>
      </c>
      <c r="F25" s="34"/>
      <c r="G25" s="157">
        <v>0</v>
      </c>
      <c r="H25" s="158"/>
    </row>
    <row r="26" spans="1:8" ht="20.25" customHeight="1" x14ac:dyDescent="0.5">
      <c r="C26" s="113">
        <f t="shared" si="1"/>
        <v>0</v>
      </c>
      <c r="D26" s="114"/>
      <c r="E26" s="22" t="s">
        <v>7</v>
      </c>
      <c r="F26" s="34"/>
      <c r="G26" s="157">
        <v>0</v>
      </c>
      <c r="H26" s="158"/>
    </row>
    <row r="27" spans="1:8" ht="20.25" customHeight="1" x14ac:dyDescent="0.5">
      <c r="C27" s="113">
        <f t="shared" si="1"/>
        <v>0</v>
      </c>
      <c r="D27" s="114"/>
      <c r="E27" s="22" t="s">
        <v>6</v>
      </c>
      <c r="F27" s="34"/>
      <c r="G27" s="157">
        <v>0</v>
      </c>
      <c r="H27" s="158"/>
    </row>
    <row r="28" spans="1:8" ht="20.25" customHeight="1" x14ac:dyDescent="0.5">
      <c r="C28" s="155"/>
      <c r="D28" s="156"/>
      <c r="E28" s="22" t="s">
        <v>112</v>
      </c>
      <c r="F28" s="34"/>
      <c r="G28" s="157">
        <v>0</v>
      </c>
      <c r="H28" s="158"/>
    </row>
    <row r="29" spans="1:8" ht="20.25" customHeight="1" x14ac:dyDescent="0.5">
      <c r="C29" s="113">
        <f t="shared" si="1"/>
        <v>0</v>
      </c>
      <c r="D29" s="114">
        <f>G29</f>
        <v>0</v>
      </c>
      <c r="E29" s="22" t="s">
        <v>172</v>
      </c>
      <c r="F29" s="34" t="s">
        <v>127</v>
      </c>
      <c r="G29" s="157"/>
      <c r="H29" s="158"/>
    </row>
    <row r="30" spans="1:8" ht="20.25" customHeight="1" x14ac:dyDescent="0.5">
      <c r="C30" s="157">
        <f t="shared" si="1"/>
        <v>582153.75</v>
      </c>
      <c r="D30" s="158"/>
      <c r="E30" s="22" t="s">
        <v>37</v>
      </c>
      <c r="F30" s="34" t="s">
        <v>74</v>
      </c>
      <c r="G30" s="157">
        <f>'รายละเอียด(หมายเหตุ2)'!E21</f>
        <v>582153.75</v>
      </c>
      <c r="H30" s="158"/>
    </row>
    <row r="31" spans="1:8" ht="20.25" customHeight="1" x14ac:dyDescent="0.5">
      <c r="C31" s="157">
        <f t="shared" si="1"/>
        <v>60560</v>
      </c>
      <c r="D31" s="158"/>
      <c r="E31" s="22" t="s">
        <v>34</v>
      </c>
      <c r="F31" s="34" t="s">
        <v>61</v>
      </c>
      <c r="G31" s="157">
        <v>60560</v>
      </c>
      <c r="H31" s="158"/>
    </row>
    <row r="32" spans="1:8" ht="20.25" customHeight="1" x14ac:dyDescent="0.5">
      <c r="C32" s="157">
        <f t="shared" si="1"/>
        <v>1600330</v>
      </c>
      <c r="D32" s="158"/>
      <c r="E32" s="22" t="s">
        <v>56</v>
      </c>
      <c r="F32" s="34" t="s">
        <v>60</v>
      </c>
      <c r="G32" s="157">
        <v>1600330</v>
      </c>
      <c r="H32" s="158"/>
    </row>
    <row r="33" spans="1:11" ht="20.25" customHeight="1" x14ac:dyDescent="0.5">
      <c r="C33" s="157">
        <f t="shared" si="1"/>
        <v>508015</v>
      </c>
      <c r="D33" s="158"/>
      <c r="E33" s="22" t="s">
        <v>87</v>
      </c>
      <c r="F33" s="34" t="s">
        <v>75</v>
      </c>
      <c r="G33" s="157">
        <v>508015</v>
      </c>
      <c r="H33" s="158"/>
    </row>
    <row r="34" spans="1:11" s="14" customFormat="1" ht="23.25" x14ac:dyDescent="0.5">
      <c r="A34" s="31"/>
      <c r="B34" s="22"/>
      <c r="C34" s="155">
        <f>G34</f>
        <v>6668</v>
      </c>
      <c r="D34" s="156"/>
      <c r="E34" s="22" t="s">
        <v>188</v>
      </c>
      <c r="F34" s="34" t="s">
        <v>187</v>
      </c>
      <c r="G34" s="157">
        <v>6668</v>
      </c>
      <c r="H34" s="158"/>
    </row>
    <row r="35" spans="1:11" ht="23.25" x14ac:dyDescent="0.5">
      <c r="C35" s="155">
        <f t="shared" ref="C35" si="2">G35</f>
        <v>0</v>
      </c>
      <c r="D35" s="156"/>
      <c r="E35" s="22" t="s">
        <v>92</v>
      </c>
      <c r="F35" s="34" t="s">
        <v>93</v>
      </c>
      <c r="G35" s="157"/>
      <c r="H35" s="158"/>
      <c r="J35" s="22"/>
      <c r="K35" s="22"/>
    </row>
    <row r="36" spans="1:11" ht="23.25" x14ac:dyDescent="0.5">
      <c r="C36" s="155">
        <f>G36</f>
        <v>0</v>
      </c>
      <c r="D36" s="156"/>
      <c r="E36" s="22" t="s">
        <v>139</v>
      </c>
      <c r="F36" s="34" t="s">
        <v>146</v>
      </c>
      <c r="G36" s="157"/>
      <c r="H36" s="158"/>
      <c r="J36" s="22"/>
      <c r="K36" s="22"/>
    </row>
    <row r="37" spans="1:11" ht="23.25" x14ac:dyDescent="0.5">
      <c r="A37" s="40"/>
      <c r="C37" s="155">
        <f>G37</f>
        <v>107699</v>
      </c>
      <c r="D37" s="156"/>
      <c r="E37" s="22" t="s">
        <v>114</v>
      </c>
      <c r="F37" s="34" t="s">
        <v>145</v>
      </c>
      <c r="G37" s="157">
        <v>107699</v>
      </c>
      <c r="H37" s="158"/>
      <c r="J37" s="22"/>
      <c r="K37" s="22"/>
    </row>
    <row r="38" spans="1:11" ht="20.25" customHeight="1" x14ac:dyDescent="0.5">
      <c r="C38" s="157">
        <f t="shared" si="1"/>
        <v>0</v>
      </c>
      <c r="D38" s="158"/>
      <c r="E38" s="22" t="s">
        <v>55</v>
      </c>
      <c r="F38" s="37" t="s">
        <v>73</v>
      </c>
      <c r="G38" s="157"/>
      <c r="H38" s="158"/>
    </row>
    <row r="39" spans="1:11" ht="20.25" customHeight="1" x14ac:dyDescent="0.5">
      <c r="C39" s="183">
        <f>SUM(C29:C38)</f>
        <v>2865425.75</v>
      </c>
      <c r="D39" s="184"/>
      <c r="F39" s="39"/>
      <c r="G39" s="183">
        <f>SUM(G18:G38)</f>
        <v>2865425.75</v>
      </c>
      <c r="H39" s="184"/>
    </row>
    <row r="40" spans="1:11" ht="20.25" customHeight="1" thickBot="1" x14ac:dyDescent="0.55000000000000004">
      <c r="C40" s="188">
        <f>C17+C39</f>
        <v>4070087.75</v>
      </c>
      <c r="D40" s="189"/>
      <c r="E40" s="74" t="s">
        <v>38</v>
      </c>
      <c r="G40" s="188">
        <f>G17+G39</f>
        <v>4070087.75</v>
      </c>
      <c r="H40" s="189"/>
    </row>
    <row r="41" spans="1:11" ht="20.25" customHeight="1" thickTop="1" x14ac:dyDescent="0.5">
      <c r="C41" s="155"/>
      <c r="D41" s="156"/>
      <c r="E41" s="74" t="s">
        <v>39</v>
      </c>
      <c r="G41" s="155"/>
      <c r="H41" s="156"/>
    </row>
    <row r="42" spans="1:11" ht="20.25" customHeight="1" x14ac:dyDescent="0.5">
      <c r="C42" s="157"/>
      <c r="D42" s="158"/>
      <c r="E42" s="74" t="s">
        <v>40</v>
      </c>
      <c r="G42" s="157"/>
      <c r="H42" s="158"/>
    </row>
    <row r="43" spans="1:11" ht="20.25" customHeight="1" x14ac:dyDescent="0.5">
      <c r="C43" s="157">
        <f>'งบรับจ่ายเงินสด  57'!C42:D42-'ใบต่อ  57'!C40:D40</f>
        <v>-484945.58000000007</v>
      </c>
      <c r="D43" s="158"/>
      <c r="E43" s="74" t="s">
        <v>41</v>
      </c>
      <c r="G43" s="157">
        <f>'งบรับจ่ายเงินสด  57'!G42:H42-'ใบต่อ  57'!G40:H40</f>
        <v>-484945.58000000007</v>
      </c>
      <c r="H43" s="158"/>
    </row>
    <row r="44" spans="1:11" ht="20.25" customHeight="1" thickBot="1" x14ac:dyDescent="0.55000000000000004">
      <c r="C44" s="188">
        <f>'งบรับจ่ายเงินสด  57'!C9:D9+'งบรับจ่ายเงินสด  57'!C42:D42-'ใบต่อ  57'!C40:D40</f>
        <v>53259235.899999999</v>
      </c>
      <c r="D44" s="189"/>
      <c r="E44" s="74" t="s">
        <v>42</v>
      </c>
      <c r="G44" s="188">
        <f>'งบรับจ่ายเงินสด  57'!G9:H9+'งบรับจ่ายเงินสด  57'!G42:H42-'ใบต่อ  57'!G40:H40</f>
        <v>53259235.899999999</v>
      </c>
      <c r="H44" s="189"/>
      <c r="I44" s="40">
        <f>C44-G44</f>
        <v>0</v>
      </c>
    </row>
    <row r="45" spans="1:11" ht="20.25" customHeight="1" thickTop="1" x14ac:dyDescent="0.5">
      <c r="C45" s="41"/>
      <c r="D45" s="41"/>
      <c r="E45" s="74"/>
      <c r="G45" s="75"/>
      <c r="H45" s="75"/>
      <c r="I45" s="40"/>
    </row>
    <row r="46" spans="1:11" ht="30" customHeight="1" x14ac:dyDescent="0.5">
      <c r="A46" s="31" t="s">
        <v>120</v>
      </c>
      <c r="C46" s="41"/>
      <c r="D46" s="41"/>
      <c r="E46" s="115" t="s">
        <v>120</v>
      </c>
      <c r="F46" s="22" t="s">
        <v>123</v>
      </c>
      <c r="G46" s="75"/>
      <c r="H46" s="75"/>
    </row>
    <row r="47" spans="1:11" ht="20.25" customHeight="1" x14ac:dyDescent="0.5">
      <c r="A47" s="31" t="s">
        <v>121</v>
      </c>
      <c r="C47" s="41"/>
      <c r="D47" s="41"/>
      <c r="E47" s="115" t="s">
        <v>100</v>
      </c>
      <c r="F47" s="185" t="s">
        <v>100</v>
      </c>
      <c r="G47" s="185"/>
      <c r="H47" s="185"/>
    </row>
    <row r="48" spans="1:11" ht="20.25" customHeight="1" x14ac:dyDescent="0.5">
      <c r="A48" s="31" t="s">
        <v>122</v>
      </c>
      <c r="C48" s="41"/>
      <c r="D48" s="41"/>
      <c r="E48" s="115" t="s">
        <v>101</v>
      </c>
      <c r="F48" s="185" t="s">
        <v>101</v>
      </c>
      <c r="G48" s="185"/>
      <c r="H48" s="185"/>
    </row>
    <row r="49" spans="1:9" ht="20.25" customHeight="1" x14ac:dyDescent="0.5">
      <c r="E49" s="115"/>
      <c r="F49" s="185" t="s">
        <v>189</v>
      </c>
      <c r="G49" s="185"/>
      <c r="H49" s="185"/>
    </row>
    <row r="50" spans="1:9" ht="20.25" customHeight="1" thickBot="1" x14ac:dyDescent="0.55000000000000004">
      <c r="F50" s="26" t="s">
        <v>213</v>
      </c>
      <c r="G50" s="26"/>
      <c r="I50" s="40"/>
    </row>
    <row r="51" spans="1:9" ht="20.25" customHeight="1" thickTop="1" x14ac:dyDescent="0.5">
      <c r="A51" s="190" t="s">
        <v>18</v>
      </c>
      <c r="B51" s="191"/>
      <c r="C51" s="191"/>
      <c r="D51" s="192"/>
      <c r="E51" s="68"/>
      <c r="F51" s="190" t="s">
        <v>19</v>
      </c>
      <c r="G51" s="191"/>
      <c r="H51" s="192"/>
    </row>
    <row r="52" spans="1:9" ht="20.25" customHeight="1" x14ac:dyDescent="0.5">
      <c r="A52" s="197" t="s">
        <v>20</v>
      </c>
      <c r="B52" s="198"/>
      <c r="C52" s="197" t="s">
        <v>22</v>
      </c>
      <c r="D52" s="198"/>
      <c r="E52" s="193" t="s">
        <v>0</v>
      </c>
      <c r="F52" s="69" t="s">
        <v>23</v>
      </c>
      <c r="G52" s="197" t="s">
        <v>22</v>
      </c>
      <c r="H52" s="198"/>
    </row>
    <row r="53" spans="1:9" ht="20.25" customHeight="1" thickBot="1" x14ac:dyDescent="0.55000000000000004">
      <c r="A53" s="195" t="s">
        <v>21</v>
      </c>
      <c r="B53" s="196"/>
      <c r="C53" s="195" t="s">
        <v>21</v>
      </c>
      <c r="D53" s="196"/>
      <c r="E53" s="194"/>
      <c r="F53" s="70" t="s">
        <v>24</v>
      </c>
      <c r="G53" s="195" t="s">
        <v>21</v>
      </c>
      <c r="H53" s="196"/>
    </row>
    <row r="54" spans="1:9" ht="20.25" customHeight="1" thickTop="1" x14ac:dyDescent="0.5">
      <c r="A54" s="32"/>
      <c r="B54" s="33"/>
      <c r="C54" s="165"/>
      <c r="D54" s="166"/>
      <c r="E54" s="26" t="s">
        <v>36</v>
      </c>
      <c r="F54" s="34"/>
      <c r="G54" s="165"/>
      <c r="H54" s="166"/>
    </row>
    <row r="55" spans="1:9" ht="20.25" customHeight="1" x14ac:dyDescent="0.5">
      <c r="A55" s="35">
        <v>21297500</v>
      </c>
      <c r="B55" s="36" t="s">
        <v>16</v>
      </c>
      <c r="C55" s="157">
        <f t="shared" ref="C55:C65" si="3">G55+C6</f>
        <v>52992</v>
      </c>
      <c r="D55" s="158"/>
      <c r="E55" s="22" t="s">
        <v>12</v>
      </c>
      <c r="F55" s="34" t="s">
        <v>62</v>
      </c>
      <c r="G55" s="157">
        <v>52992</v>
      </c>
      <c r="H55" s="158"/>
    </row>
    <row r="56" spans="1:9" ht="20.25" customHeight="1" x14ac:dyDescent="0.5">
      <c r="A56" s="35">
        <f>756000+480000+247500+1620000+3116486+373200+240000+1600080+299160+42000+809340+58080+42000+3439694+31440+387600+67200+1015440+177840+42000+729900+36000+120000</f>
        <v>15730960</v>
      </c>
      <c r="B56" s="36" t="s">
        <v>16</v>
      </c>
      <c r="C56" s="157">
        <f t="shared" si="3"/>
        <v>978702</v>
      </c>
      <c r="D56" s="158"/>
      <c r="E56" s="22" t="s">
        <v>4</v>
      </c>
      <c r="F56" s="34" t="s">
        <v>85</v>
      </c>
      <c r="G56" s="157">
        <v>474730</v>
      </c>
      <c r="H56" s="158"/>
    </row>
    <row r="57" spans="1:9" ht="20.25" customHeight="1" x14ac:dyDescent="0.5">
      <c r="A57" s="35">
        <f>1928880+1092120+996960+594240+1165200+730800+78000+31000+997200+694800+640800+457200</f>
        <v>9407200</v>
      </c>
      <c r="B57" s="36" t="s">
        <v>16</v>
      </c>
      <c r="C57" s="157">
        <f t="shared" si="3"/>
        <v>1264780</v>
      </c>
      <c r="D57" s="158"/>
      <c r="E57" s="22" t="s">
        <v>5</v>
      </c>
      <c r="F57" s="34" t="s">
        <v>86</v>
      </c>
      <c r="G57" s="157">
        <v>620390</v>
      </c>
      <c r="H57" s="158"/>
    </row>
    <row r="58" spans="1:9" ht="20.25" customHeight="1" x14ac:dyDescent="0.5">
      <c r="A58" s="35">
        <f>152000+1430000+400000+60000+30000+50000</f>
        <v>2122000</v>
      </c>
      <c r="B58" s="36" t="s">
        <v>16</v>
      </c>
      <c r="C58" s="157">
        <f t="shared" si="3"/>
        <v>22586</v>
      </c>
      <c r="D58" s="158"/>
      <c r="E58" s="22" t="s">
        <v>6</v>
      </c>
      <c r="F58" s="34" t="s">
        <v>64</v>
      </c>
      <c r="G58" s="157">
        <v>16586</v>
      </c>
      <c r="H58" s="158"/>
    </row>
    <row r="59" spans="1:9" ht="20.25" customHeight="1" x14ac:dyDescent="0.5">
      <c r="A59" s="35">
        <f>347000+4100000+2453500+3666000+3806600+1328000</f>
        <v>15701100</v>
      </c>
      <c r="B59" s="36" t="s">
        <v>16</v>
      </c>
      <c r="C59" s="157">
        <f t="shared" si="3"/>
        <v>949071</v>
      </c>
      <c r="D59" s="158"/>
      <c r="E59" s="22" t="s">
        <v>7</v>
      </c>
      <c r="F59" s="34" t="s">
        <v>65</v>
      </c>
      <c r="G59" s="157">
        <f>876771+42000</f>
        <v>918771</v>
      </c>
      <c r="H59" s="158"/>
    </row>
    <row r="60" spans="1:9" ht="20.25" customHeight="1" x14ac:dyDescent="0.5">
      <c r="A60" s="35">
        <f>210000+980000+839000+1540000+1276240+280000</f>
        <v>5125240</v>
      </c>
      <c r="B60" s="36" t="s">
        <v>16</v>
      </c>
      <c r="C60" s="157">
        <f t="shared" si="3"/>
        <v>173934.66</v>
      </c>
      <c r="D60" s="158"/>
      <c r="E60" s="22" t="s">
        <v>8</v>
      </c>
      <c r="F60" s="34" t="s">
        <v>66</v>
      </c>
      <c r="G60" s="157">
        <v>153934.66</v>
      </c>
      <c r="H60" s="158"/>
    </row>
    <row r="61" spans="1:9" ht="20.25" customHeight="1" x14ac:dyDescent="0.5">
      <c r="A61" s="35">
        <v>930000</v>
      </c>
      <c r="B61" s="36" t="s">
        <v>16</v>
      </c>
      <c r="C61" s="157">
        <f t="shared" si="3"/>
        <v>140268.51999999999</v>
      </c>
      <c r="D61" s="158"/>
      <c r="E61" s="22" t="s">
        <v>9</v>
      </c>
      <c r="F61" s="34" t="s">
        <v>67</v>
      </c>
      <c r="G61" s="157">
        <f>140267.94+0.58</f>
        <v>140268.51999999999</v>
      </c>
      <c r="H61" s="158"/>
    </row>
    <row r="62" spans="1:9" ht="20.25" customHeight="1" x14ac:dyDescent="0.5">
      <c r="A62" s="35">
        <f>1048000+942000</f>
        <v>1990000</v>
      </c>
      <c r="B62" s="36"/>
      <c r="C62" s="157">
        <f t="shared" si="3"/>
        <v>0</v>
      </c>
      <c r="D62" s="158"/>
      <c r="E62" s="22" t="s">
        <v>13</v>
      </c>
      <c r="F62" s="34" t="s">
        <v>68</v>
      </c>
      <c r="G62" s="157"/>
      <c r="H62" s="158"/>
    </row>
    <row r="63" spans="1:9" ht="20.25" customHeight="1" x14ac:dyDescent="0.5">
      <c r="A63" s="35">
        <f>140000+118000+799400+3243800+137000+912800</f>
        <v>5351000</v>
      </c>
      <c r="B63" s="36" t="s">
        <v>16</v>
      </c>
      <c r="C63" s="157">
        <f t="shared" si="3"/>
        <v>0</v>
      </c>
      <c r="D63" s="158"/>
      <c r="E63" s="22" t="s">
        <v>10</v>
      </c>
      <c r="F63" s="34" t="s">
        <v>69</v>
      </c>
      <c r="G63" s="157"/>
      <c r="H63" s="158"/>
    </row>
    <row r="64" spans="1:9" ht="20.25" customHeight="1" x14ac:dyDescent="0.5">
      <c r="A64" s="13">
        <f>310000+8231000+650000</f>
        <v>9191000</v>
      </c>
      <c r="B64" s="36"/>
      <c r="C64" s="157">
        <f t="shared" si="3"/>
        <v>0</v>
      </c>
      <c r="D64" s="158"/>
      <c r="E64" s="22" t="s">
        <v>96</v>
      </c>
      <c r="F64" s="34" t="s">
        <v>70</v>
      </c>
      <c r="G64" s="157">
        <v>0</v>
      </c>
      <c r="H64" s="158"/>
    </row>
    <row r="65" spans="1:8" ht="20.25" customHeight="1" x14ac:dyDescent="0.5">
      <c r="A65" s="13"/>
      <c r="B65" s="36"/>
      <c r="C65" s="157">
        <f t="shared" si="3"/>
        <v>0</v>
      </c>
      <c r="D65" s="158"/>
      <c r="E65" s="22" t="s">
        <v>97</v>
      </c>
      <c r="F65" s="37" t="s">
        <v>94</v>
      </c>
      <c r="G65" s="157"/>
      <c r="H65" s="158"/>
    </row>
    <row r="66" spans="1:8" ht="20.25" customHeight="1" thickBot="1" x14ac:dyDescent="0.55000000000000004">
      <c r="A66" s="71">
        <f>SUM(A55:A65)</f>
        <v>86846000</v>
      </c>
      <c r="B66" s="72" t="s">
        <v>16</v>
      </c>
      <c r="C66" s="188">
        <f>SUM(C55:C65)</f>
        <v>3582334.18</v>
      </c>
      <c r="D66" s="189"/>
      <c r="E66" s="73"/>
      <c r="F66" s="34"/>
      <c r="G66" s="188">
        <f>SUM(G55:G65)</f>
        <v>2377672.1800000002</v>
      </c>
      <c r="H66" s="189"/>
    </row>
    <row r="67" spans="1:8" ht="20.25" customHeight="1" thickTop="1" x14ac:dyDescent="0.5">
      <c r="C67" s="165"/>
      <c r="D67" s="166"/>
      <c r="E67" s="65" t="s">
        <v>134</v>
      </c>
      <c r="F67" s="34"/>
      <c r="G67" s="165">
        <v>0</v>
      </c>
      <c r="H67" s="166"/>
    </row>
    <row r="68" spans="1:8" ht="20.25" customHeight="1" x14ac:dyDescent="0.5">
      <c r="C68" s="155">
        <f>G68</f>
        <v>0</v>
      </c>
      <c r="D68" s="156"/>
      <c r="E68" s="38" t="s">
        <v>136</v>
      </c>
      <c r="F68" s="34"/>
      <c r="G68" s="155"/>
      <c r="H68" s="156"/>
    </row>
    <row r="69" spans="1:8" ht="20.25" customHeight="1" x14ac:dyDescent="0.5">
      <c r="C69" s="157">
        <f t="shared" ref="C69:C76" si="4">G69</f>
        <v>0</v>
      </c>
      <c r="D69" s="158"/>
      <c r="E69" s="38" t="s">
        <v>98</v>
      </c>
      <c r="F69" s="34"/>
      <c r="G69" s="157">
        <v>0</v>
      </c>
      <c r="H69" s="158"/>
    </row>
    <row r="70" spans="1:8" ht="20.25" customHeight="1" x14ac:dyDescent="0.5">
      <c r="C70" s="157">
        <f t="shared" si="4"/>
        <v>0</v>
      </c>
      <c r="D70" s="158"/>
      <c r="E70" s="43" t="s">
        <v>135</v>
      </c>
      <c r="F70" s="34"/>
      <c r="G70" s="157">
        <v>0</v>
      </c>
      <c r="H70" s="158"/>
    </row>
    <row r="71" spans="1:8" ht="20.25" customHeight="1" x14ac:dyDescent="0.5">
      <c r="C71" s="113">
        <f t="shared" si="4"/>
        <v>0</v>
      </c>
      <c r="D71" s="114"/>
      <c r="E71" s="22" t="s">
        <v>12</v>
      </c>
      <c r="F71" s="34"/>
      <c r="G71" s="157">
        <v>0</v>
      </c>
      <c r="H71" s="158"/>
    </row>
    <row r="72" spans="1:8" ht="20.25" customHeight="1" x14ac:dyDescent="0.5">
      <c r="C72" s="113">
        <f t="shared" si="4"/>
        <v>0</v>
      </c>
      <c r="D72" s="114"/>
      <c r="E72" s="22" t="s">
        <v>4</v>
      </c>
      <c r="F72" s="34"/>
      <c r="G72" s="157">
        <v>0</v>
      </c>
      <c r="H72" s="158"/>
    </row>
    <row r="73" spans="1:8" ht="20.25" customHeight="1" x14ac:dyDescent="0.5">
      <c r="C73" s="113">
        <f t="shared" si="4"/>
        <v>0</v>
      </c>
      <c r="D73" s="114"/>
      <c r="E73" s="22" t="s">
        <v>5</v>
      </c>
      <c r="F73" s="34"/>
      <c r="G73" s="157">
        <v>0</v>
      </c>
      <c r="H73" s="158"/>
    </row>
    <row r="74" spans="1:8" ht="20.25" customHeight="1" x14ac:dyDescent="0.5">
      <c r="C74" s="113">
        <f t="shared" si="4"/>
        <v>0</v>
      </c>
      <c r="D74" s="114"/>
      <c r="E74" s="22" t="s">
        <v>8</v>
      </c>
      <c r="F74" s="34"/>
      <c r="G74" s="157">
        <v>0</v>
      </c>
      <c r="H74" s="158"/>
    </row>
    <row r="75" spans="1:8" ht="20.25" customHeight="1" x14ac:dyDescent="0.5">
      <c r="C75" s="113">
        <f t="shared" si="4"/>
        <v>489780</v>
      </c>
      <c r="D75" s="114">
        <f>G75</f>
        <v>489780</v>
      </c>
      <c r="E75" s="22" t="s">
        <v>7</v>
      </c>
      <c r="F75" s="34"/>
      <c r="G75" s="157">
        <v>489780</v>
      </c>
      <c r="H75" s="158"/>
    </row>
    <row r="76" spans="1:8" ht="20.25" customHeight="1" x14ac:dyDescent="0.5">
      <c r="C76" s="113">
        <f t="shared" si="4"/>
        <v>0</v>
      </c>
      <c r="D76" s="114"/>
      <c r="E76" s="22" t="s">
        <v>6</v>
      </c>
      <c r="F76" s="34"/>
      <c r="G76" s="157">
        <v>0</v>
      </c>
      <c r="H76" s="158"/>
    </row>
    <row r="77" spans="1:8" ht="20.25" customHeight="1" x14ac:dyDescent="0.5">
      <c r="C77" s="155">
        <f>G77</f>
        <v>1457678.55</v>
      </c>
      <c r="D77" s="156"/>
      <c r="E77" s="22" t="s">
        <v>112</v>
      </c>
      <c r="F77" s="34"/>
      <c r="G77" s="157">
        <v>1457678.55</v>
      </c>
      <c r="H77" s="158"/>
    </row>
    <row r="78" spans="1:8" ht="20.25" customHeight="1" x14ac:dyDescent="0.5">
      <c r="C78" s="157">
        <f>G78+D29</f>
        <v>0</v>
      </c>
      <c r="D78" s="158"/>
      <c r="E78" s="22" t="s">
        <v>172</v>
      </c>
      <c r="F78" s="34" t="s">
        <v>127</v>
      </c>
      <c r="G78" s="157">
        <v>0</v>
      </c>
      <c r="H78" s="158"/>
    </row>
    <row r="79" spans="1:8" ht="20.25" customHeight="1" x14ac:dyDescent="0.5">
      <c r="C79" s="157">
        <f>C30+G79</f>
        <v>1023844.38</v>
      </c>
      <c r="D79" s="158"/>
      <c r="E79" s="22" t="s">
        <v>37</v>
      </c>
      <c r="F79" s="34" t="s">
        <v>74</v>
      </c>
      <c r="G79" s="157">
        <f>'รายละเอียด(หมายเหตุ2)'!E55</f>
        <v>441690.63</v>
      </c>
      <c r="H79" s="158"/>
    </row>
    <row r="80" spans="1:8" ht="20.25" customHeight="1" x14ac:dyDescent="0.5">
      <c r="C80" s="157">
        <f>C31+G80</f>
        <v>71754</v>
      </c>
      <c r="D80" s="158"/>
      <c r="E80" s="22" t="s">
        <v>34</v>
      </c>
      <c r="F80" s="34" t="s">
        <v>61</v>
      </c>
      <c r="G80" s="157">
        <v>11194</v>
      </c>
      <c r="H80" s="158"/>
    </row>
    <row r="81" spans="1:9" ht="20.25" customHeight="1" x14ac:dyDescent="0.5">
      <c r="C81" s="157">
        <f>C32+G81</f>
        <v>3203620</v>
      </c>
      <c r="D81" s="158"/>
      <c r="E81" s="22" t="s">
        <v>56</v>
      </c>
      <c r="F81" s="34" t="s">
        <v>60</v>
      </c>
      <c r="G81" s="157">
        <v>1603290</v>
      </c>
      <c r="H81" s="158"/>
    </row>
    <row r="82" spans="1:9" ht="20.25" customHeight="1" x14ac:dyDescent="0.5">
      <c r="C82" s="157">
        <f>C33+G82</f>
        <v>582914</v>
      </c>
      <c r="D82" s="158"/>
      <c r="E82" s="22" t="s">
        <v>87</v>
      </c>
      <c r="F82" s="34" t="s">
        <v>75</v>
      </c>
      <c r="G82" s="157">
        <v>74899</v>
      </c>
      <c r="H82" s="158"/>
    </row>
    <row r="83" spans="1:9" ht="20.25" customHeight="1" x14ac:dyDescent="0.5">
      <c r="C83" s="157">
        <f t="shared" ref="C83:C84" si="5">C34+G83</f>
        <v>6668</v>
      </c>
      <c r="D83" s="158"/>
      <c r="E83" s="22" t="s">
        <v>188</v>
      </c>
      <c r="F83" s="34" t="s">
        <v>187</v>
      </c>
      <c r="G83" s="157">
        <v>0</v>
      </c>
      <c r="H83" s="158"/>
    </row>
    <row r="84" spans="1:9" ht="20.25" customHeight="1" x14ac:dyDescent="0.5">
      <c r="C84" s="157">
        <f t="shared" si="5"/>
        <v>0</v>
      </c>
      <c r="D84" s="158"/>
      <c r="E84" s="22" t="s">
        <v>139</v>
      </c>
      <c r="F84" s="34" t="s">
        <v>146</v>
      </c>
      <c r="G84" s="157">
        <v>0</v>
      </c>
      <c r="H84" s="158"/>
    </row>
    <row r="85" spans="1:9" ht="20.25" customHeight="1" x14ac:dyDescent="0.5">
      <c r="A85" s="40"/>
      <c r="C85" s="157">
        <f>C37+G85</f>
        <v>427699</v>
      </c>
      <c r="D85" s="158"/>
      <c r="E85" s="22" t="s">
        <v>114</v>
      </c>
      <c r="F85" s="34" t="s">
        <v>145</v>
      </c>
      <c r="G85" s="157">
        <v>320000</v>
      </c>
      <c r="H85" s="158"/>
    </row>
    <row r="86" spans="1:9" ht="20.25" customHeight="1" x14ac:dyDescent="0.5">
      <c r="C86" s="157">
        <f>G86+C38</f>
        <v>0</v>
      </c>
      <c r="D86" s="158"/>
      <c r="E86" s="22" t="s">
        <v>55</v>
      </c>
      <c r="F86" s="37" t="s">
        <v>73</v>
      </c>
      <c r="G86" s="157"/>
      <c r="H86" s="158"/>
    </row>
    <row r="87" spans="1:9" ht="20.25" customHeight="1" x14ac:dyDescent="0.5">
      <c r="C87" s="183">
        <f>SUM(C68:C86)</f>
        <v>7263957.9299999997</v>
      </c>
      <c r="D87" s="184"/>
      <c r="F87" s="39"/>
      <c r="G87" s="183">
        <f>SUM(G67:G86)</f>
        <v>4398532.18</v>
      </c>
      <c r="H87" s="184"/>
      <c r="I87" s="40"/>
    </row>
    <row r="88" spans="1:9" ht="20.25" customHeight="1" thickBot="1" x14ac:dyDescent="0.55000000000000004">
      <c r="C88" s="188">
        <f>C66+C87</f>
        <v>10846292.109999999</v>
      </c>
      <c r="D88" s="189"/>
      <c r="E88" s="74" t="s">
        <v>38</v>
      </c>
      <c r="G88" s="188">
        <f>G66+G87</f>
        <v>6776204.3599999994</v>
      </c>
      <c r="H88" s="189"/>
      <c r="I88" s="40"/>
    </row>
    <row r="89" spans="1:9" ht="20.25" customHeight="1" thickTop="1" x14ac:dyDescent="0.5">
      <c r="C89" s="76"/>
      <c r="D89" s="77"/>
      <c r="E89" s="74"/>
      <c r="G89" s="76"/>
      <c r="H89" s="77"/>
      <c r="I89" s="40"/>
    </row>
    <row r="90" spans="1:9" ht="20.25" customHeight="1" x14ac:dyDescent="0.5">
      <c r="C90" s="155">
        <f>'งบรับจ่ายเงินสด  57'!C85:D85-'ใบต่อ  57'!C88:D88</f>
        <v>9423994.5199999996</v>
      </c>
      <c r="D90" s="156"/>
      <c r="E90" s="74" t="s">
        <v>39</v>
      </c>
      <c r="G90" s="155">
        <f>'งบรับจ่ายเงินสด  57'!G85:H85-'ใบต่อ  57'!G88:H88</f>
        <v>9908940.0999999996</v>
      </c>
      <c r="H90" s="156"/>
      <c r="I90" s="40"/>
    </row>
    <row r="91" spans="1:9" ht="20.25" customHeight="1" x14ac:dyDescent="0.5">
      <c r="C91" s="157"/>
      <c r="D91" s="158"/>
      <c r="E91" s="74" t="s">
        <v>40</v>
      </c>
      <c r="G91" s="157"/>
      <c r="H91" s="158"/>
    </row>
    <row r="92" spans="1:9" ht="20.25" customHeight="1" x14ac:dyDescent="0.5">
      <c r="C92" s="157"/>
      <c r="D92" s="158"/>
      <c r="E92" s="74" t="s">
        <v>41</v>
      </c>
      <c r="G92" s="157"/>
      <c r="H92" s="158"/>
    </row>
    <row r="93" spans="1:9" ht="20.25" customHeight="1" thickBot="1" x14ac:dyDescent="0.55000000000000004">
      <c r="C93" s="188">
        <f>'งบรับจ่ายเงินสด  57'!C52:D52+'งบรับจ่ายเงินสด  57'!C85:D85-'ใบต่อ  57'!C88:D88</f>
        <v>63168176</v>
      </c>
      <c r="D93" s="189"/>
      <c r="E93" s="74" t="s">
        <v>42</v>
      </c>
      <c r="G93" s="188">
        <f>'งบรับจ่ายเงินสด  57'!G52:H52+'งบรับจ่ายเงินสด  57'!G85:H85-'ใบต่อ  57'!G88:H88</f>
        <v>63168176</v>
      </c>
      <c r="H93" s="189"/>
      <c r="I93" s="40">
        <f>C93-G93</f>
        <v>0</v>
      </c>
    </row>
    <row r="94" spans="1:9" ht="20.25" customHeight="1" thickTop="1" x14ac:dyDescent="0.5">
      <c r="C94" s="41"/>
      <c r="D94" s="41"/>
      <c r="E94" s="74"/>
      <c r="G94" s="75"/>
      <c r="H94" s="75"/>
    </row>
    <row r="95" spans="1:9" ht="20.25" customHeight="1" x14ac:dyDescent="0.5">
      <c r="A95" s="31" t="s">
        <v>120</v>
      </c>
      <c r="C95" s="41"/>
      <c r="D95" s="41"/>
      <c r="E95" s="115" t="s">
        <v>120</v>
      </c>
      <c r="F95" s="22" t="s">
        <v>123</v>
      </c>
      <c r="G95" s="75"/>
      <c r="H95" s="75"/>
    </row>
    <row r="96" spans="1:9" ht="20.25" customHeight="1" x14ac:dyDescent="0.5">
      <c r="A96" s="31" t="s">
        <v>121</v>
      </c>
      <c r="C96" s="41"/>
      <c r="D96" s="41"/>
      <c r="E96" s="115" t="s">
        <v>100</v>
      </c>
      <c r="F96" s="185" t="s">
        <v>149</v>
      </c>
      <c r="G96" s="185"/>
      <c r="H96" s="185"/>
    </row>
    <row r="97" spans="1:8" ht="20.25" customHeight="1" x14ac:dyDescent="0.5">
      <c r="A97" s="31" t="s">
        <v>122</v>
      </c>
      <c r="C97" s="41"/>
      <c r="D97" s="41"/>
      <c r="E97" s="115" t="s">
        <v>101</v>
      </c>
      <c r="F97" s="22" t="s">
        <v>205</v>
      </c>
      <c r="G97" s="75"/>
      <c r="H97" s="75"/>
    </row>
    <row r="98" spans="1:8" ht="20.25" customHeight="1" x14ac:dyDescent="0.5">
      <c r="C98" s="41"/>
      <c r="D98" s="41"/>
      <c r="E98" s="115"/>
      <c r="G98" s="75"/>
      <c r="H98" s="75"/>
    </row>
    <row r="99" spans="1:8" ht="20.25" customHeight="1" thickBot="1" x14ac:dyDescent="0.55000000000000004">
      <c r="F99" s="26" t="s">
        <v>214</v>
      </c>
      <c r="G99" s="26"/>
    </row>
    <row r="100" spans="1:8" ht="20.25" customHeight="1" thickTop="1" x14ac:dyDescent="0.5">
      <c r="A100" s="190" t="s">
        <v>18</v>
      </c>
      <c r="B100" s="191"/>
      <c r="C100" s="191"/>
      <c r="D100" s="192"/>
      <c r="E100" s="68"/>
      <c r="F100" s="190" t="s">
        <v>19</v>
      </c>
      <c r="G100" s="191"/>
      <c r="H100" s="192"/>
    </row>
    <row r="101" spans="1:8" ht="20.25" customHeight="1" x14ac:dyDescent="0.5">
      <c r="A101" s="197" t="s">
        <v>20</v>
      </c>
      <c r="B101" s="198"/>
      <c r="C101" s="197" t="s">
        <v>22</v>
      </c>
      <c r="D101" s="198"/>
      <c r="E101" s="193" t="s">
        <v>0</v>
      </c>
      <c r="F101" s="69" t="s">
        <v>23</v>
      </c>
      <c r="G101" s="197" t="s">
        <v>22</v>
      </c>
      <c r="H101" s="198"/>
    </row>
    <row r="102" spans="1:8" ht="20.25" customHeight="1" thickBot="1" x14ac:dyDescent="0.55000000000000004">
      <c r="A102" s="195" t="s">
        <v>21</v>
      </c>
      <c r="B102" s="196"/>
      <c r="C102" s="195" t="s">
        <v>21</v>
      </c>
      <c r="D102" s="196"/>
      <c r="E102" s="194"/>
      <c r="F102" s="70" t="s">
        <v>24</v>
      </c>
      <c r="G102" s="195" t="s">
        <v>21</v>
      </c>
      <c r="H102" s="196"/>
    </row>
    <row r="103" spans="1:8" ht="20.25" customHeight="1" thickTop="1" x14ac:dyDescent="0.5">
      <c r="A103" s="32"/>
      <c r="B103" s="33"/>
      <c r="C103" s="165"/>
      <c r="D103" s="166"/>
      <c r="E103" s="26" t="s">
        <v>36</v>
      </c>
      <c r="F103" s="34"/>
      <c r="G103" s="165"/>
      <c r="H103" s="166"/>
    </row>
    <row r="104" spans="1:8" ht="20.25" customHeight="1" x14ac:dyDescent="0.5">
      <c r="A104" s="35">
        <v>21297500</v>
      </c>
      <c r="B104" s="36" t="s">
        <v>16</v>
      </c>
      <c r="C104" s="157">
        <f t="shared" ref="C104:C113" si="6">C55+G104</f>
        <v>1312764</v>
      </c>
      <c r="D104" s="158"/>
      <c r="E104" s="22" t="s">
        <v>12</v>
      </c>
      <c r="F104" s="34" t="s">
        <v>62</v>
      </c>
      <c r="G104" s="157">
        <f>1240272+19500</f>
        <v>1259772</v>
      </c>
      <c r="H104" s="158"/>
    </row>
    <row r="105" spans="1:8" ht="20.25" customHeight="1" x14ac:dyDescent="0.5">
      <c r="A105" s="35">
        <f>756000+480000+247500+1620000+3116486+373200+240000+1600080+299160+42000+809340+58080+42000+3439694+31440+387600+67200+1015440+177840+42000+729900+36000+120000</f>
        <v>15730960</v>
      </c>
      <c r="B105" s="36" t="s">
        <v>16</v>
      </c>
      <c r="C105" s="157">
        <f t="shared" si="6"/>
        <v>2778113</v>
      </c>
      <c r="D105" s="158"/>
      <c r="E105" s="22" t="s">
        <v>4</v>
      </c>
      <c r="F105" s="34" t="s">
        <v>85</v>
      </c>
      <c r="G105" s="157">
        <f>984911+761290+16800+300+6210+13100+16800</f>
        <v>1799411</v>
      </c>
      <c r="H105" s="158"/>
    </row>
    <row r="106" spans="1:8" ht="20.25" customHeight="1" x14ac:dyDescent="0.5">
      <c r="A106" s="35">
        <f>1928880+1092120+996960+594240+1165200+730800+78000+31000+997200+694800+640800+457200</f>
        <v>9407200</v>
      </c>
      <c r="B106" s="36" t="s">
        <v>16</v>
      </c>
      <c r="C106" s="157">
        <f t="shared" si="6"/>
        <v>1912170</v>
      </c>
      <c r="D106" s="158"/>
      <c r="E106" s="22" t="s">
        <v>5</v>
      </c>
      <c r="F106" s="34" t="s">
        <v>86</v>
      </c>
      <c r="G106" s="157">
        <f>620390+6890+20110</f>
        <v>647390</v>
      </c>
      <c r="H106" s="158"/>
    </row>
    <row r="107" spans="1:8" ht="20.25" customHeight="1" x14ac:dyDescent="0.5">
      <c r="A107" s="35">
        <f>152000+1430000+400000+60000+30000+50000</f>
        <v>2122000</v>
      </c>
      <c r="B107" s="36" t="s">
        <v>16</v>
      </c>
      <c r="C107" s="157">
        <f t="shared" si="6"/>
        <v>40186</v>
      </c>
      <c r="D107" s="158"/>
      <c r="E107" s="22" t="s">
        <v>6</v>
      </c>
      <c r="F107" s="34" t="s">
        <v>64</v>
      </c>
      <c r="G107" s="157">
        <v>17600</v>
      </c>
      <c r="H107" s="158"/>
    </row>
    <row r="108" spans="1:8" ht="20.25" customHeight="1" x14ac:dyDescent="0.5">
      <c r="A108" s="35">
        <f>347000+4100000+2453500+3666000+3806600+1328000</f>
        <v>15701100</v>
      </c>
      <c r="B108" s="36" t="s">
        <v>16</v>
      </c>
      <c r="C108" s="157">
        <f t="shared" si="6"/>
        <v>2763434</v>
      </c>
      <c r="D108" s="158"/>
      <c r="E108" s="22" t="s">
        <v>7</v>
      </c>
      <c r="F108" s="34" t="s">
        <v>65</v>
      </c>
      <c r="G108" s="157">
        <f>1792357+10812+3772+3772+3650</f>
        <v>1814363</v>
      </c>
      <c r="H108" s="158"/>
    </row>
    <row r="109" spans="1:8" ht="20.25" customHeight="1" x14ac:dyDescent="0.5">
      <c r="A109" s="35">
        <f>210000+980000+839000+1540000+1276240+280000</f>
        <v>5125240</v>
      </c>
      <c r="B109" s="36" t="s">
        <v>16</v>
      </c>
      <c r="C109" s="157">
        <f t="shared" si="6"/>
        <v>599769.66</v>
      </c>
      <c r="D109" s="158"/>
      <c r="E109" s="22" t="s">
        <v>8</v>
      </c>
      <c r="F109" s="34" t="s">
        <v>66</v>
      </c>
      <c r="G109" s="157">
        <v>425835</v>
      </c>
      <c r="H109" s="158"/>
    </row>
    <row r="110" spans="1:8" ht="20.25" customHeight="1" x14ac:dyDescent="0.5">
      <c r="A110" s="35">
        <v>930000</v>
      </c>
      <c r="B110" s="36" t="s">
        <v>16</v>
      </c>
      <c r="C110" s="157">
        <f t="shared" si="6"/>
        <v>286259.28000000003</v>
      </c>
      <c r="D110" s="158"/>
      <c r="E110" s="22" t="s">
        <v>9</v>
      </c>
      <c r="F110" s="34" t="s">
        <v>67</v>
      </c>
      <c r="G110" s="157">
        <v>145990.76</v>
      </c>
      <c r="H110" s="158"/>
    </row>
    <row r="111" spans="1:8" ht="20.25" customHeight="1" x14ac:dyDescent="0.5">
      <c r="A111" s="35">
        <f>1048000+942000</f>
        <v>1990000</v>
      </c>
      <c r="B111" s="36"/>
      <c r="C111" s="157">
        <f t="shared" si="6"/>
        <v>73000</v>
      </c>
      <c r="D111" s="158"/>
      <c r="E111" s="22" t="s">
        <v>13</v>
      </c>
      <c r="F111" s="34" t="s">
        <v>68</v>
      </c>
      <c r="G111" s="157">
        <v>73000</v>
      </c>
      <c r="H111" s="158"/>
    </row>
    <row r="112" spans="1:8" ht="20.25" customHeight="1" x14ac:dyDescent="0.5">
      <c r="A112" s="35">
        <f>140000+118000+799400+3243800+137000+912800</f>
        <v>5351000</v>
      </c>
      <c r="B112" s="36" t="s">
        <v>16</v>
      </c>
      <c r="C112" s="157">
        <f t="shared" si="6"/>
        <v>99600</v>
      </c>
      <c r="D112" s="158"/>
      <c r="E112" s="22" t="s">
        <v>10</v>
      </c>
      <c r="F112" s="34" t="s">
        <v>69</v>
      </c>
      <c r="G112" s="157">
        <v>99600</v>
      </c>
      <c r="H112" s="158"/>
    </row>
    <row r="113" spans="1:8" ht="20.25" customHeight="1" x14ac:dyDescent="0.5">
      <c r="A113" s="13">
        <f>310000+8231000+650000</f>
        <v>9191000</v>
      </c>
      <c r="B113" s="36"/>
      <c r="C113" s="157">
        <f t="shared" si="6"/>
        <v>0</v>
      </c>
      <c r="D113" s="158"/>
      <c r="E113" s="22" t="s">
        <v>96</v>
      </c>
      <c r="F113" s="34" t="s">
        <v>70</v>
      </c>
      <c r="G113" s="157">
        <v>0</v>
      </c>
      <c r="H113" s="158"/>
    </row>
    <row r="114" spans="1:8" ht="20.25" customHeight="1" x14ac:dyDescent="0.5">
      <c r="A114" s="13"/>
      <c r="B114" s="36"/>
      <c r="C114" s="157">
        <f>G114+C67</f>
        <v>0</v>
      </c>
      <c r="D114" s="158"/>
      <c r="E114" s="22" t="s">
        <v>97</v>
      </c>
      <c r="F114" s="37" t="s">
        <v>94</v>
      </c>
      <c r="G114" s="157"/>
      <c r="H114" s="158"/>
    </row>
    <row r="115" spans="1:8" ht="20.25" customHeight="1" thickBot="1" x14ac:dyDescent="0.55000000000000004">
      <c r="A115" s="71">
        <f>SUM(A104:A114)</f>
        <v>86846000</v>
      </c>
      <c r="B115" s="72" t="s">
        <v>16</v>
      </c>
      <c r="C115" s="188">
        <f>SUM(C104:C114)</f>
        <v>9865295.9399999995</v>
      </c>
      <c r="D115" s="189"/>
      <c r="E115" s="73"/>
      <c r="F115" s="34"/>
      <c r="G115" s="188">
        <f>SUM(G104:G114)</f>
        <v>6282961.7599999998</v>
      </c>
      <c r="H115" s="189"/>
    </row>
    <row r="116" spans="1:8" ht="20.25" customHeight="1" thickTop="1" x14ac:dyDescent="0.5">
      <c r="C116" s="165">
        <f>G116</f>
        <v>0</v>
      </c>
      <c r="D116" s="166"/>
      <c r="E116" s="65" t="s">
        <v>134</v>
      </c>
      <c r="F116" s="34"/>
      <c r="G116" s="165">
        <v>0</v>
      </c>
      <c r="H116" s="166"/>
    </row>
    <row r="117" spans="1:8" ht="20.25" customHeight="1" x14ac:dyDescent="0.5">
      <c r="C117" s="155">
        <f>G117+C68</f>
        <v>3830200</v>
      </c>
      <c r="D117" s="156"/>
      <c r="E117" s="38" t="s">
        <v>136</v>
      </c>
      <c r="F117" s="34"/>
      <c r="G117" s="155">
        <f>1121700+1125800+150000+1126500+2000+3200+150000+151000</f>
        <v>3830200</v>
      </c>
      <c r="H117" s="156"/>
    </row>
    <row r="118" spans="1:8" ht="20.25" customHeight="1" x14ac:dyDescent="0.5">
      <c r="C118" s="157">
        <f t="shared" ref="C118:C124" si="7">G118</f>
        <v>0</v>
      </c>
      <c r="D118" s="158"/>
      <c r="E118" s="43" t="s">
        <v>135</v>
      </c>
      <c r="F118" s="34"/>
      <c r="G118" s="157">
        <v>0</v>
      </c>
      <c r="H118" s="158"/>
    </row>
    <row r="119" spans="1:8" ht="20.25" customHeight="1" x14ac:dyDescent="0.5">
      <c r="C119" s="113">
        <f t="shared" si="7"/>
        <v>0</v>
      </c>
      <c r="D119" s="114"/>
      <c r="E119" s="22" t="s">
        <v>12</v>
      </c>
      <c r="F119" s="34"/>
      <c r="G119" s="157">
        <v>0</v>
      </c>
      <c r="H119" s="158"/>
    </row>
    <row r="120" spans="1:8" ht="20.25" customHeight="1" x14ac:dyDescent="0.5">
      <c r="C120" s="113">
        <f t="shared" si="7"/>
        <v>0</v>
      </c>
      <c r="D120" s="114"/>
      <c r="E120" s="22" t="s">
        <v>4</v>
      </c>
      <c r="F120" s="34"/>
      <c r="G120" s="157">
        <v>0</v>
      </c>
      <c r="H120" s="158"/>
    </row>
    <row r="121" spans="1:8" ht="20.25" customHeight="1" x14ac:dyDescent="0.5">
      <c r="C121" s="113">
        <f t="shared" si="7"/>
        <v>0</v>
      </c>
      <c r="D121" s="114"/>
      <c r="E121" s="22" t="s">
        <v>5</v>
      </c>
      <c r="F121" s="34"/>
      <c r="G121" s="157">
        <v>0</v>
      </c>
      <c r="H121" s="158"/>
    </row>
    <row r="122" spans="1:8" ht="20.25" customHeight="1" x14ac:dyDescent="0.5">
      <c r="C122" s="113">
        <f t="shared" si="7"/>
        <v>0</v>
      </c>
      <c r="D122" s="114"/>
      <c r="E122" s="22" t="s">
        <v>8</v>
      </c>
      <c r="F122" s="34"/>
      <c r="G122" s="157">
        <v>0</v>
      </c>
      <c r="H122" s="158"/>
    </row>
    <row r="123" spans="1:8" ht="20.25" customHeight="1" x14ac:dyDescent="0.5">
      <c r="C123" s="113">
        <f t="shared" si="7"/>
        <v>0</v>
      </c>
      <c r="D123" s="114">
        <f>D75</f>
        <v>489780</v>
      </c>
      <c r="E123" s="22" t="s">
        <v>7</v>
      </c>
      <c r="F123" s="34"/>
      <c r="G123" s="157">
        <v>0</v>
      </c>
      <c r="H123" s="158"/>
    </row>
    <row r="124" spans="1:8" ht="20.25" customHeight="1" x14ac:dyDescent="0.5">
      <c r="C124" s="113">
        <f t="shared" si="7"/>
        <v>0</v>
      </c>
      <c r="D124" s="114">
        <f>G124</f>
        <v>0</v>
      </c>
      <c r="E124" s="22" t="s">
        <v>6</v>
      </c>
      <c r="F124" s="34"/>
      <c r="G124" s="157"/>
      <c r="H124" s="158"/>
    </row>
    <row r="125" spans="1:8" ht="20.25" customHeight="1" x14ac:dyDescent="0.5">
      <c r="C125" s="155">
        <f>C77+G125</f>
        <v>1457678.55</v>
      </c>
      <c r="D125" s="156"/>
      <c r="E125" s="22" t="s">
        <v>112</v>
      </c>
      <c r="F125" s="34"/>
      <c r="G125" s="157">
        <v>0</v>
      </c>
      <c r="H125" s="158"/>
    </row>
    <row r="126" spans="1:8" ht="20.25" customHeight="1" x14ac:dyDescent="0.5">
      <c r="C126" s="157">
        <f>C78+G126</f>
        <v>0</v>
      </c>
      <c r="D126" s="158"/>
      <c r="E126" s="22" t="s">
        <v>172</v>
      </c>
      <c r="F126" s="34" t="s">
        <v>127</v>
      </c>
      <c r="G126" s="157"/>
      <c r="H126" s="158"/>
    </row>
    <row r="127" spans="1:8" ht="20.25" customHeight="1" x14ac:dyDescent="0.5">
      <c r="C127" s="157">
        <f>C79+G127</f>
        <v>1585770.48</v>
      </c>
      <c r="D127" s="158"/>
      <c r="E127" s="22" t="s">
        <v>37</v>
      </c>
      <c r="F127" s="34" t="s">
        <v>74</v>
      </c>
      <c r="G127" s="157">
        <f>'รายละเอียด(หมายเหตุ2)'!E92</f>
        <v>561926.1</v>
      </c>
      <c r="H127" s="158"/>
    </row>
    <row r="128" spans="1:8" ht="20.25" customHeight="1" x14ac:dyDescent="0.5">
      <c r="C128" s="157">
        <f>C80+G128</f>
        <v>151522</v>
      </c>
      <c r="D128" s="158"/>
      <c r="E128" s="22" t="s">
        <v>34</v>
      </c>
      <c r="F128" s="34" t="s">
        <v>61</v>
      </c>
      <c r="G128" s="157">
        <v>79768</v>
      </c>
      <c r="H128" s="158"/>
    </row>
    <row r="129" spans="1:9" ht="20.25" customHeight="1" x14ac:dyDescent="0.5">
      <c r="C129" s="157">
        <f>C81+G129</f>
        <v>3680340</v>
      </c>
      <c r="D129" s="158"/>
      <c r="E129" s="22" t="s">
        <v>56</v>
      </c>
      <c r="F129" s="34" t="s">
        <v>60</v>
      </c>
      <c r="G129" s="157">
        <v>476720</v>
      </c>
      <c r="H129" s="158"/>
    </row>
    <row r="130" spans="1:9" ht="20.25" customHeight="1" x14ac:dyDescent="0.5">
      <c r="C130" s="157">
        <f>C82</f>
        <v>582914</v>
      </c>
      <c r="D130" s="158"/>
      <c r="E130" s="22" t="s">
        <v>87</v>
      </c>
      <c r="F130" s="34" t="s">
        <v>75</v>
      </c>
      <c r="G130" s="157"/>
      <c r="H130" s="158"/>
    </row>
    <row r="131" spans="1:9" ht="20.25" customHeight="1" x14ac:dyDescent="0.5">
      <c r="C131" s="157">
        <f>C83</f>
        <v>6668</v>
      </c>
      <c r="D131" s="158"/>
      <c r="E131" s="22" t="s">
        <v>92</v>
      </c>
      <c r="F131" s="34" t="s">
        <v>93</v>
      </c>
      <c r="G131" s="157">
        <v>0</v>
      </c>
      <c r="H131" s="158"/>
    </row>
    <row r="132" spans="1:9" ht="20.25" customHeight="1" x14ac:dyDescent="0.5">
      <c r="C132" s="157">
        <f>C84</f>
        <v>0</v>
      </c>
      <c r="D132" s="158"/>
      <c r="E132" s="22" t="s">
        <v>139</v>
      </c>
      <c r="F132" s="34" t="s">
        <v>146</v>
      </c>
      <c r="G132" s="157">
        <v>0</v>
      </c>
      <c r="H132" s="158"/>
    </row>
    <row r="133" spans="1:9" ht="20.25" customHeight="1" x14ac:dyDescent="0.5">
      <c r="A133" s="40"/>
      <c r="C133" s="157">
        <f>C85</f>
        <v>427699</v>
      </c>
      <c r="D133" s="158"/>
      <c r="E133" s="22" t="s">
        <v>114</v>
      </c>
      <c r="F133" s="34" t="s">
        <v>145</v>
      </c>
      <c r="G133" s="157">
        <v>0</v>
      </c>
      <c r="H133" s="158"/>
    </row>
    <row r="134" spans="1:9" ht="20.25" customHeight="1" x14ac:dyDescent="0.5">
      <c r="C134" s="157">
        <f>C86+G134</f>
        <v>494108.68</v>
      </c>
      <c r="D134" s="158"/>
      <c r="E134" s="22" t="s">
        <v>55</v>
      </c>
      <c r="F134" s="37" t="s">
        <v>73</v>
      </c>
      <c r="G134" s="157">
        <v>494108.68</v>
      </c>
      <c r="H134" s="158"/>
    </row>
    <row r="135" spans="1:9" ht="20.25" customHeight="1" x14ac:dyDescent="0.5">
      <c r="C135" s="183">
        <f>D123+C125+C127+C128+C129+C130+C131+C133+C134+C117</f>
        <v>12706680.710000001</v>
      </c>
      <c r="D135" s="184"/>
      <c r="F135" s="39"/>
      <c r="G135" s="183">
        <f>SUM(G116:G134)</f>
        <v>5442722.7799999993</v>
      </c>
      <c r="H135" s="184"/>
    </row>
    <row r="136" spans="1:9" ht="20.25" customHeight="1" thickBot="1" x14ac:dyDescent="0.55000000000000004">
      <c r="C136" s="188">
        <f>C115+C135</f>
        <v>22571976.649999999</v>
      </c>
      <c r="D136" s="189"/>
      <c r="E136" s="74" t="s">
        <v>38</v>
      </c>
      <c r="G136" s="188">
        <f>G115+G135</f>
        <v>11725684.539999999</v>
      </c>
      <c r="H136" s="189"/>
    </row>
    <row r="137" spans="1:9" ht="20.25" customHeight="1" thickTop="1" x14ac:dyDescent="0.5">
      <c r="C137" s="76"/>
      <c r="D137" s="77"/>
      <c r="E137" s="74"/>
      <c r="G137" s="76"/>
      <c r="H137" s="77"/>
    </row>
    <row r="138" spans="1:9" ht="20.25" customHeight="1" x14ac:dyDescent="0.5">
      <c r="C138" s="155">
        <f>'งบรับจ่ายเงินสด  57'!C129:D129-'ใบต่อ  57'!C136:D136</f>
        <v>33828393.289999999</v>
      </c>
      <c r="D138" s="156"/>
      <c r="E138" s="74" t="s">
        <v>39</v>
      </c>
      <c r="G138" s="155">
        <f>'งบรับจ่ายเงินสด  57'!G129:H129-'ใบต่อ  57'!G136:H136</f>
        <v>24404398.770000003</v>
      </c>
      <c r="H138" s="156"/>
    </row>
    <row r="139" spans="1:9" ht="20.25" customHeight="1" x14ac:dyDescent="0.5">
      <c r="C139" s="157"/>
      <c r="D139" s="158"/>
      <c r="E139" s="74" t="s">
        <v>40</v>
      </c>
      <c r="G139" s="157"/>
      <c r="H139" s="158"/>
    </row>
    <row r="140" spans="1:9" ht="20.25" customHeight="1" x14ac:dyDescent="0.5">
      <c r="C140" s="157"/>
      <c r="D140" s="158"/>
      <c r="E140" s="74" t="s">
        <v>41</v>
      </c>
      <c r="G140" s="155"/>
      <c r="H140" s="156"/>
    </row>
    <row r="141" spans="1:9" ht="20.25" customHeight="1" thickBot="1" x14ac:dyDescent="0.55000000000000004">
      <c r="C141" s="188">
        <f>'งบรับจ่ายเงินสด  57'!C94:D94+'งบรับจ่ายเงินสด  57'!C129:D129-'ใบต่อ  57'!C136:D136</f>
        <v>87572574.769999981</v>
      </c>
      <c r="D141" s="189"/>
      <c r="E141" s="74" t="s">
        <v>42</v>
      </c>
      <c r="G141" s="188">
        <f>'งบรับจ่ายเงินสด  57'!G94:H94+'งบรับจ่ายเงินสด  57'!G129:H129-'ใบต่อ  57'!G136:H136</f>
        <v>87572574.770000011</v>
      </c>
      <c r="H141" s="189"/>
      <c r="I141" s="40">
        <f>C141-G141</f>
        <v>0</v>
      </c>
    </row>
    <row r="142" spans="1:9" ht="20.25" customHeight="1" thickTop="1" x14ac:dyDescent="0.5">
      <c r="C142" s="41" t="s">
        <v>173</v>
      </c>
      <c r="D142" s="41"/>
      <c r="E142" s="74"/>
      <c r="G142" s="75"/>
      <c r="H142" s="75"/>
    </row>
    <row r="143" spans="1:9" ht="20.25" customHeight="1" x14ac:dyDescent="0.5">
      <c r="A143" s="31" t="s">
        <v>120</v>
      </c>
      <c r="C143" s="41"/>
      <c r="D143" s="41"/>
      <c r="E143" s="115" t="s">
        <v>120</v>
      </c>
      <c r="F143" s="22" t="s">
        <v>123</v>
      </c>
      <c r="G143" s="75"/>
      <c r="H143" s="75"/>
    </row>
    <row r="144" spans="1:9" ht="20.25" customHeight="1" x14ac:dyDescent="0.5">
      <c r="A144" s="31" t="s">
        <v>121</v>
      </c>
      <c r="C144" s="41"/>
      <c r="D144" s="41"/>
      <c r="E144" s="115" t="s">
        <v>100</v>
      </c>
      <c r="F144" s="185" t="s">
        <v>149</v>
      </c>
      <c r="G144" s="185"/>
      <c r="H144" s="185"/>
    </row>
    <row r="145" spans="1:8" ht="20.25" customHeight="1" x14ac:dyDescent="0.5">
      <c r="A145" s="31" t="s">
        <v>122</v>
      </c>
      <c r="C145" s="41"/>
      <c r="D145" s="41"/>
      <c r="E145" s="115" t="s">
        <v>101</v>
      </c>
      <c r="F145" s="22" t="s">
        <v>215</v>
      </c>
      <c r="G145" s="75"/>
      <c r="H145" s="75"/>
    </row>
    <row r="149" spans="1:8" ht="20.25" customHeight="1" thickBot="1" x14ac:dyDescent="0.55000000000000004">
      <c r="F149" s="26" t="s">
        <v>223</v>
      </c>
      <c r="G149" s="26"/>
    </row>
    <row r="150" spans="1:8" ht="20.25" customHeight="1" thickTop="1" x14ac:dyDescent="0.5">
      <c r="A150" s="190" t="s">
        <v>18</v>
      </c>
      <c r="B150" s="191"/>
      <c r="C150" s="191"/>
      <c r="D150" s="192"/>
      <c r="E150" s="68"/>
      <c r="F150" s="190" t="s">
        <v>19</v>
      </c>
      <c r="G150" s="191"/>
      <c r="H150" s="192"/>
    </row>
    <row r="151" spans="1:8" ht="20.25" customHeight="1" x14ac:dyDescent="0.5">
      <c r="A151" s="197" t="s">
        <v>20</v>
      </c>
      <c r="B151" s="198"/>
      <c r="C151" s="197" t="s">
        <v>22</v>
      </c>
      <c r="D151" s="198"/>
      <c r="E151" s="193" t="s">
        <v>0</v>
      </c>
      <c r="F151" s="69" t="s">
        <v>23</v>
      </c>
      <c r="G151" s="197" t="s">
        <v>22</v>
      </c>
      <c r="H151" s="198"/>
    </row>
    <row r="152" spans="1:8" ht="20.25" customHeight="1" thickBot="1" x14ac:dyDescent="0.55000000000000004">
      <c r="A152" s="195" t="s">
        <v>21</v>
      </c>
      <c r="B152" s="196"/>
      <c r="C152" s="195" t="s">
        <v>21</v>
      </c>
      <c r="D152" s="196"/>
      <c r="E152" s="194"/>
      <c r="F152" s="70" t="s">
        <v>24</v>
      </c>
      <c r="G152" s="195" t="s">
        <v>21</v>
      </c>
      <c r="H152" s="196"/>
    </row>
    <row r="153" spans="1:8" ht="20.25" customHeight="1" thickTop="1" x14ac:dyDescent="0.5">
      <c r="A153" s="32"/>
      <c r="B153" s="33"/>
      <c r="C153" s="165"/>
      <c r="D153" s="166"/>
      <c r="E153" s="26" t="s">
        <v>36</v>
      </c>
      <c r="F153" s="34"/>
      <c r="G153" s="165"/>
      <c r="H153" s="166"/>
    </row>
    <row r="154" spans="1:8" ht="20.25" customHeight="1" x14ac:dyDescent="0.5">
      <c r="A154" s="35">
        <v>21297500</v>
      </c>
      <c r="B154" s="36" t="s">
        <v>16</v>
      </c>
      <c r="C154" s="157">
        <f t="shared" ref="C154:C164" si="8">C104+G154</f>
        <v>1539336</v>
      </c>
      <c r="D154" s="158"/>
      <c r="E154" s="22" t="s">
        <v>12</v>
      </c>
      <c r="F154" s="34" t="s">
        <v>62</v>
      </c>
      <c r="G154" s="157">
        <f>106572+60000+60000</f>
        <v>226572</v>
      </c>
      <c r="H154" s="158"/>
    </row>
    <row r="155" spans="1:8" ht="20.25" customHeight="1" x14ac:dyDescent="0.5">
      <c r="A155" s="35">
        <f>756000+480000+247500+1620000+3116486+373200+240000+1600080+299160+42000+809340+58080+42000+3439694+31440+387600+67200+1015440+177840+42000+729900+36000+120000</f>
        <v>15730960</v>
      </c>
      <c r="B155" s="36" t="s">
        <v>16</v>
      </c>
      <c r="C155" s="157">
        <f t="shared" si="8"/>
        <v>3857496</v>
      </c>
      <c r="D155" s="158"/>
      <c r="E155" s="22" t="s">
        <v>4</v>
      </c>
      <c r="F155" s="34" t="s">
        <v>85</v>
      </c>
      <c r="G155" s="157">
        <v>1079383</v>
      </c>
      <c r="H155" s="158"/>
    </row>
    <row r="156" spans="1:8" ht="20.25" customHeight="1" x14ac:dyDescent="0.5">
      <c r="A156" s="35">
        <f>1928880+1092120+996960+594240+1165200+730800+78000+31000+997200+694800+640800+457200</f>
        <v>9407200</v>
      </c>
      <c r="B156" s="36" t="s">
        <v>16</v>
      </c>
      <c r="C156" s="157">
        <f t="shared" si="8"/>
        <v>2541560</v>
      </c>
      <c r="D156" s="158"/>
      <c r="E156" s="22" t="s">
        <v>5</v>
      </c>
      <c r="F156" s="34" t="s">
        <v>86</v>
      </c>
      <c r="G156" s="157">
        <v>629390</v>
      </c>
      <c r="H156" s="158"/>
    </row>
    <row r="157" spans="1:8" ht="20.25" customHeight="1" x14ac:dyDescent="0.5">
      <c r="A157" s="35">
        <f>152000+1430000+400000+60000+30000+50000</f>
        <v>2122000</v>
      </c>
      <c r="B157" s="36" t="s">
        <v>16</v>
      </c>
      <c r="C157" s="157">
        <f t="shared" si="8"/>
        <v>59186</v>
      </c>
      <c r="D157" s="158"/>
      <c r="E157" s="22" t="s">
        <v>6</v>
      </c>
      <c r="F157" s="34" t="s">
        <v>64</v>
      </c>
      <c r="G157" s="157">
        <v>19000</v>
      </c>
      <c r="H157" s="158"/>
    </row>
    <row r="158" spans="1:8" ht="20.25" customHeight="1" x14ac:dyDescent="0.5">
      <c r="A158" s="35">
        <f>347000+4100000+2453500+3666000+3806600+1328000</f>
        <v>15701100</v>
      </c>
      <c r="B158" s="36" t="s">
        <v>16</v>
      </c>
      <c r="C158" s="157">
        <f t="shared" si="8"/>
        <v>6125120</v>
      </c>
      <c r="D158" s="158"/>
      <c r="E158" s="22" t="s">
        <v>7</v>
      </c>
      <c r="F158" s="34" t="s">
        <v>65</v>
      </c>
      <c r="G158" s="157">
        <f>3318930+102756-60000</f>
        <v>3361686</v>
      </c>
      <c r="H158" s="158"/>
    </row>
    <row r="159" spans="1:8" ht="20.25" customHeight="1" x14ac:dyDescent="0.5">
      <c r="A159" s="35">
        <f>210000+980000+839000+1540000+1276240+280000</f>
        <v>5125240</v>
      </c>
      <c r="B159" s="36" t="s">
        <v>16</v>
      </c>
      <c r="C159" s="157">
        <f t="shared" si="8"/>
        <v>1262946.6600000001</v>
      </c>
      <c r="D159" s="158"/>
      <c r="E159" s="22" t="s">
        <v>8</v>
      </c>
      <c r="F159" s="34" t="s">
        <v>66</v>
      </c>
      <c r="G159" s="157">
        <v>663177</v>
      </c>
      <c r="H159" s="158"/>
    </row>
    <row r="160" spans="1:8" ht="20.25" customHeight="1" x14ac:dyDescent="0.5">
      <c r="A160" s="35">
        <v>930000</v>
      </c>
      <c r="B160" s="36" t="s">
        <v>16</v>
      </c>
      <c r="C160" s="157">
        <f t="shared" si="8"/>
        <v>419743.96</v>
      </c>
      <c r="D160" s="158"/>
      <c r="E160" s="22" t="s">
        <v>9</v>
      </c>
      <c r="F160" s="34" t="s">
        <v>67</v>
      </c>
      <c r="G160" s="157">
        <v>133484.68</v>
      </c>
      <c r="H160" s="158"/>
    </row>
    <row r="161" spans="1:8" ht="20.25" customHeight="1" x14ac:dyDescent="0.5">
      <c r="A161" s="35">
        <f>1048000+942000</f>
        <v>1990000</v>
      </c>
      <c r="B161" s="36"/>
      <c r="C161" s="157">
        <f t="shared" si="8"/>
        <v>1302536.7</v>
      </c>
      <c r="D161" s="158"/>
      <c r="E161" s="22" t="s">
        <v>13</v>
      </c>
      <c r="F161" s="34" t="s">
        <v>68</v>
      </c>
      <c r="G161" s="157">
        <v>1229536.7</v>
      </c>
      <c r="H161" s="158"/>
    </row>
    <row r="162" spans="1:8" ht="20.25" customHeight="1" x14ac:dyDescent="0.5">
      <c r="A162" s="35">
        <f>140000+118000+799400+3243800+137000+912800</f>
        <v>5351000</v>
      </c>
      <c r="B162" s="36" t="s">
        <v>16</v>
      </c>
      <c r="C162" s="157">
        <f t="shared" si="8"/>
        <v>2677600</v>
      </c>
      <c r="D162" s="158"/>
      <c r="E162" s="22" t="s">
        <v>10</v>
      </c>
      <c r="F162" s="34" t="s">
        <v>69</v>
      </c>
      <c r="G162" s="157">
        <v>2578000</v>
      </c>
      <c r="H162" s="158"/>
    </row>
    <row r="163" spans="1:8" ht="20.25" customHeight="1" x14ac:dyDescent="0.5">
      <c r="A163" s="13">
        <f>310000+8231000+650000</f>
        <v>9191000</v>
      </c>
      <c r="B163" s="36"/>
      <c r="C163" s="157">
        <f t="shared" si="8"/>
        <v>490800</v>
      </c>
      <c r="D163" s="158"/>
      <c r="E163" s="22" t="s">
        <v>96</v>
      </c>
      <c r="F163" s="34" t="s">
        <v>70</v>
      </c>
      <c r="G163" s="157">
        <v>490800</v>
      </c>
      <c r="H163" s="158"/>
    </row>
    <row r="164" spans="1:8" ht="20.25" customHeight="1" x14ac:dyDescent="0.5">
      <c r="A164" s="13"/>
      <c r="B164" s="36"/>
      <c r="C164" s="157">
        <f t="shared" si="8"/>
        <v>0</v>
      </c>
      <c r="D164" s="158"/>
      <c r="E164" s="22" t="s">
        <v>97</v>
      </c>
      <c r="F164" s="37" t="s">
        <v>94</v>
      </c>
      <c r="G164" s="157"/>
      <c r="H164" s="158"/>
    </row>
    <row r="165" spans="1:8" ht="20.25" customHeight="1" thickBot="1" x14ac:dyDescent="0.55000000000000004">
      <c r="A165" s="71">
        <f>SUM(A154:A164)</f>
        <v>86846000</v>
      </c>
      <c r="B165" s="72" t="s">
        <v>16</v>
      </c>
      <c r="C165" s="188">
        <f>SUM(C154:C164)</f>
        <v>20276325.32</v>
      </c>
      <c r="D165" s="189"/>
      <c r="E165" s="73"/>
      <c r="F165" s="34"/>
      <c r="G165" s="188">
        <f>SUM(G154:G164)</f>
        <v>10411029.379999999</v>
      </c>
      <c r="H165" s="189"/>
    </row>
    <row r="166" spans="1:8" ht="20.25" customHeight="1" thickTop="1" x14ac:dyDescent="0.5">
      <c r="C166" s="165">
        <f>G166</f>
        <v>0</v>
      </c>
      <c r="D166" s="166"/>
      <c r="E166" s="65" t="s">
        <v>134</v>
      </c>
      <c r="F166" s="34"/>
      <c r="G166" s="165">
        <v>0</v>
      </c>
      <c r="H166" s="166"/>
    </row>
    <row r="167" spans="1:8" ht="20.25" customHeight="1" x14ac:dyDescent="0.5">
      <c r="C167" s="155">
        <f>C117+G167</f>
        <v>5067300</v>
      </c>
      <c r="D167" s="156"/>
      <c r="E167" s="38" t="s">
        <v>136</v>
      </c>
      <c r="F167" s="34"/>
      <c r="G167" s="155">
        <v>1237100</v>
      </c>
      <c r="H167" s="156"/>
    </row>
    <row r="168" spans="1:8" ht="20.25" customHeight="1" x14ac:dyDescent="0.5">
      <c r="C168" s="157">
        <f t="shared" ref="C168:C172" si="9">G168</f>
        <v>0</v>
      </c>
      <c r="D168" s="158"/>
      <c r="E168" s="43" t="s">
        <v>135</v>
      </c>
      <c r="F168" s="34"/>
      <c r="G168" s="157">
        <v>0</v>
      </c>
      <c r="H168" s="158"/>
    </row>
    <row r="169" spans="1:8" ht="20.25" customHeight="1" x14ac:dyDescent="0.5">
      <c r="C169" s="113">
        <f t="shared" si="9"/>
        <v>0</v>
      </c>
      <c r="D169" s="114"/>
      <c r="E169" s="22" t="s">
        <v>12</v>
      </c>
      <c r="F169" s="34"/>
      <c r="G169" s="157">
        <v>0</v>
      </c>
      <c r="H169" s="158"/>
    </row>
    <row r="170" spans="1:8" ht="20.25" customHeight="1" x14ac:dyDescent="0.5">
      <c r="C170" s="113">
        <f t="shared" si="9"/>
        <v>0</v>
      </c>
      <c r="D170" s="114"/>
      <c r="E170" s="22" t="s">
        <v>4</v>
      </c>
      <c r="F170" s="34"/>
      <c r="G170" s="157">
        <v>0</v>
      </c>
      <c r="H170" s="158"/>
    </row>
    <row r="171" spans="1:8" ht="20.25" customHeight="1" x14ac:dyDescent="0.5">
      <c r="C171" s="113">
        <f t="shared" si="9"/>
        <v>0</v>
      </c>
      <c r="D171" s="114"/>
      <c r="E171" s="22" t="s">
        <v>5</v>
      </c>
      <c r="F171" s="34"/>
      <c r="G171" s="157">
        <v>0</v>
      </c>
      <c r="H171" s="158"/>
    </row>
    <row r="172" spans="1:8" ht="20.25" customHeight="1" x14ac:dyDescent="0.5">
      <c r="C172" s="113">
        <f t="shared" si="9"/>
        <v>0</v>
      </c>
      <c r="D172" s="114"/>
      <c r="E172" s="22" t="s">
        <v>8</v>
      </c>
      <c r="F172" s="34"/>
      <c r="G172" s="157">
        <v>0</v>
      </c>
      <c r="H172" s="158"/>
    </row>
    <row r="173" spans="1:8" ht="20.25" customHeight="1" x14ac:dyDescent="0.5">
      <c r="C173" s="157">
        <v>489780</v>
      </c>
      <c r="D173" s="158"/>
      <c r="E173" s="22" t="s">
        <v>7</v>
      </c>
      <c r="F173" s="34"/>
      <c r="G173" s="157">
        <v>0</v>
      </c>
      <c r="H173" s="158"/>
    </row>
    <row r="174" spans="1:8" ht="20.25" customHeight="1" x14ac:dyDescent="0.5">
      <c r="C174" s="157">
        <f>D124</f>
        <v>0</v>
      </c>
      <c r="D174" s="158"/>
      <c r="E174" s="22" t="s">
        <v>6</v>
      </c>
      <c r="F174" s="34"/>
      <c r="G174" s="157">
        <v>0</v>
      </c>
      <c r="H174" s="158"/>
    </row>
    <row r="175" spans="1:8" ht="20.25" customHeight="1" x14ac:dyDescent="0.5">
      <c r="C175" s="155">
        <f>C125+G175</f>
        <v>1457678.55</v>
      </c>
      <c r="D175" s="156"/>
      <c r="E175" s="22" t="s">
        <v>112</v>
      </c>
      <c r="F175" s="34"/>
      <c r="G175" s="157">
        <v>0</v>
      </c>
      <c r="H175" s="158"/>
    </row>
    <row r="176" spans="1:8" ht="20.25" customHeight="1" x14ac:dyDescent="0.5">
      <c r="C176" s="157">
        <f>C126+G176</f>
        <v>0</v>
      </c>
      <c r="D176" s="158"/>
      <c r="E176" s="22" t="s">
        <v>172</v>
      </c>
      <c r="F176" s="34" t="s">
        <v>127</v>
      </c>
      <c r="G176" s="157">
        <v>0</v>
      </c>
      <c r="H176" s="158"/>
    </row>
    <row r="177" spans="1:9" ht="20.25" customHeight="1" x14ac:dyDescent="0.5">
      <c r="C177" s="157">
        <f>C127+G177</f>
        <v>2073939.91</v>
      </c>
      <c r="D177" s="158"/>
      <c r="E177" s="22" t="s">
        <v>37</v>
      </c>
      <c r="F177" s="34" t="s">
        <v>74</v>
      </c>
      <c r="G177" s="157">
        <f>'รายละเอียด(หมายเหตุ2)'!E131</f>
        <v>488169.43</v>
      </c>
      <c r="H177" s="158"/>
    </row>
    <row r="178" spans="1:9" ht="20.25" customHeight="1" x14ac:dyDescent="0.5">
      <c r="C178" s="157">
        <f>C128+G178</f>
        <v>267414</v>
      </c>
      <c r="D178" s="158"/>
      <c r="E178" s="22" t="s">
        <v>34</v>
      </c>
      <c r="F178" s="34" t="s">
        <v>61</v>
      </c>
      <c r="G178" s="157">
        <v>115892</v>
      </c>
      <c r="H178" s="158"/>
    </row>
    <row r="179" spans="1:9" ht="20.25" customHeight="1" x14ac:dyDescent="0.5">
      <c r="C179" s="157">
        <f>C129+G179</f>
        <v>3742560</v>
      </c>
      <c r="D179" s="158"/>
      <c r="E179" s="22" t="s">
        <v>56</v>
      </c>
      <c r="F179" s="34" t="s">
        <v>60</v>
      </c>
      <c r="G179" s="157">
        <v>62220</v>
      </c>
      <c r="H179" s="158"/>
    </row>
    <row r="180" spans="1:9" ht="20.25" customHeight="1" x14ac:dyDescent="0.5">
      <c r="C180" s="157">
        <f>C130</f>
        <v>582914</v>
      </c>
      <c r="D180" s="158"/>
      <c r="E180" s="22" t="s">
        <v>87</v>
      </c>
      <c r="F180" s="34" t="s">
        <v>75</v>
      </c>
      <c r="G180" s="157"/>
      <c r="H180" s="158"/>
    </row>
    <row r="181" spans="1:9" ht="20.25" customHeight="1" x14ac:dyDescent="0.5">
      <c r="C181" s="157">
        <f>C131</f>
        <v>6668</v>
      </c>
      <c r="D181" s="158"/>
      <c r="E181" s="22" t="s">
        <v>92</v>
      </c>
      <c r="F181" s="34" t="s">
        <v>93</v>
      </c>
      <c r="G181" s="157">
        <v>0</v>
      </c>
      <c r="H181" s="158"/>
    </row>
    <row r="182" spans="1:9" ht="20.25" customHeight="1" x14ac:dyDescent="0.5">
      <c r="C182" s="157">
        <f>C132+G182</f>
        <v>266400</v>
      </c>
      <c r="D182" s="158"/>
      <c r="E182" s="22" t="s">
        <v>221</v>
      </c>
      <c r="F182" s="34" t="s">
        <v>146</v>
      </c>
      <c r="G182" s="157">
        <v>266400</v>
      </c>
      <c r="H182" s="158"/>
    </row>
    <row r="183" spans="1:9" ht="20.25" customHeight="1" x14ac:dyDescent="0.5">
      <c r="A183" s="40"/>
      <c r="C183" s="157">
        <f>C133+G183</f>
        <v>943939</v>
      </c>
      <c r="D183" s="158"/>
      <c r="E183" s="22" t="s">
        <v>114</v>
      </c>
      <c r="F183" s="34" t="s">
        <v>145</v>
      </c>
      <c r="G183" s="157">
        <f>474740+41500</f>
        <v>516240</v>
      </c>
      <c r="H183" s="158"/>
    </row>
    <row r="184" spans="1:9" ht="20.25" customHeight="1" x14ac:dyDescent="0.5">
      <c r="C184" s="157">
        <f>C134+G184</f>
        <v>494108.68</v>
      </c>
      <c r="D184" s="158"/>
      <c r="E184" s="22" t="s">
        <v>55</v>
      </c>
      <c r="F184" s="37" t="s">
        <v>73</v>
      </c>
      <c r="G184" s="157">
        <v>0</v>
      </c>
      <c r="H184" s="158"/>
    </row>
    <row r="185" spans="1:9" ht="20.25" customHeight="1" x14ac:dyDescent="0.5">
      <c r="C185" s="183">
        <f>SUM(C167:C184)</f>
        <v>15392702.139999999</v>
      </c>
      <c r="D185" s="184"/>
      <c r="F185" s="39"/>
      <c r="G185" s="183">
        <f>SUM(G166:G184)</f>
        <v>2686021.4299999997</v>
      </c>
      <c r="H185" s="184"/>
    </row>
    <row r="186" spans="1:9" ht="20.25" customHeight="1" thickBot="1" x14ac:dyDescent="0.55000000000000004">
      <c r="C186" s="188">
        <f>C165+C185</f>
        <v>35669027.460000001</v>
      </c>
      <c r="D186" s="189"/>
      <c r="E186" s="74" t="s">
        <v>38</v>
      </c>
      <c r="G186" s="188">
        <f>G165+G185</f>
        <v>13097050.809999999</v>
      </c>
      <c r="H186" s="189"/>
    </row>
    <row r="187" spans="1:9" ht="20.25" customHeight="1" thickTop="1" x14ac:dyDescent="0.5">
      <c r="C187" s="76"/>
      <c r="D187" s="77"/>
      <c r="E187" s="74"/>
      <c r="G187" s="76"/>
      <c r="H187" s="77"/>
    </row>
    <row r="188" spans="1:9" ht="20.25" customHeight="1" x14ac:dyDescent="0.5">
      <c r="C188" s="155">
        <f>'งบรับจ่ายเงินสด  57'!C173:D173-'ใบต่อ  57'!C186:D186</f>
        <v>25218079.789999999</v>
      </c>
      <c r="D188" s="156"/>
      <c r="E188" s="74" t="s">
        <v>39</v>
      </c>
      <c r="G188" s="155"/>
      <c r="H188" s="156"/>
    </row>
    <row r="189" spans="1:9" ht="20.25" customHeight="1" x14ac:dyDescent="0.5">
      <c r="C189" s="157"/>
      <c r="D189" s="158"/>
      <c r="E189" s="74" t="s">
        <v>40</v>
      </c>
      <c r="G189" s="157"/>
      <c r="H189" s="158"/>
    </row>
    <row r="190" spans="1:9" ht="20.25" customHeight="1" x14ac:dyDescent="0.5">
      <c r="C190" s="157"/>
      <c r="D190" s="158"/>
      <c r="E190" s="74" t="s">
        <v>41</v>
      </c>
      <c r="G190" s="155">
        <f>'งบรับจ่ายเงินสด  57'!G173:H173-'ใบต่อ  57'!G186:H186</f>
        <v>-8610313.5</v>
      </c>
      <c r="H190" s="156"/>
    </row>
    <row r="191" spans="1:9" ht="20.25" customHeight="1" thickBot="1" x14ac:dyDescent="0.55000000000000004">
      <c r="C191" s="188">
        <f>'งบรับจ่ายเงินสด  57'!C138:D138+'งบรับจ่ายเงินสด  57'!C173:D173-'ใบต่อ  57'!C186:D186</f>
        <v>78962261.269999981</v>
      </c>
      <c r="D191" s="189"/>
      <c r="E191" s="74" t="s">
        <v>42</v>
      </c>
      <c r="G191" s="188">
        <f>'งบรับจ่ายเงินสด  57'!G138:H138+'งบรับจ่ายเงินสด  57'!G173:H173-'ใบต่อ  57'!G186:H186</f>
        <v>78962261.270000011</v>
      </c>
      <c r="H191" s="189"/>
      <c r="I191" s="40">
        <f>C191-G191</f>
        <v>0</v>
      </c>
    </row>
    <row r="192" spans="1:9" ht="20.25" customHeight="1" thickTop="1" x14ac:dyDescent="0.5">
      <c r="C192" s="41" t="s">
        <v>173</v>
      </c>
      <c r="D192" s="41"/>
      <c r="E192" s="74"/>
      <c r="G192" s="75"/>
      <c r="H192" s="75"/>
    </row>
    <row r="193" spans="1:8" ht="20.25" customHeight="1" x14ac:dyDescent="0.5">
      <c r="A193" s="31" t="s">
        <v>120</v>
      </c>
      <c r="C193" s="41"/>
      <c r="D193" s="41"/>
      <c r="E193" s="115" t="s">
        <v>120</v>
      </c>
      <c r="F193" s="22" t="s">
        <v>123</v>
      </c>
      <c r="G193" s="75"/>
      <c r="H193" s="75"/>
    </row>
    <row r="194" spans="1:8" ht="20.25" customHeight="1" x14ac:dyDescent="0.5">
      <c r="A194" s="31" t="s">
        <v>121</v>
      </c>
      <c r="C194" s="41"/>
      <c r="D194" s="41"/>
      <c r="E194" s="115" t="s">
        <v>100</v>
      </c>
      <c r="F194" s="185" t="s">
        <v>149</v>
      </c>
      <c r="G194" s="185"/>
      <c r="H194" s="185"/>
    </row>
    <row r="195" spans="1:8" ht="20.25" customHeight="1" x14ac:dyDescent="0.5">
      <c r="A195" s="31" t="s">
        <v>122</v>
      </c>
      <c r="C195" s="41"/>
      <c r="D195" s="41"/>
      <c r="E195" s="115" t="s">
        <v>101</v>
      </c>
      <c r="F195" s="22" t="s">
        <v>205</v>
      </c>
      <c r="G195" s="75"/>
      <c r="H195" s="75"/>
    </row>
    <row r="198" spans="1:8" ht="20.25" customHeight="1" thickBot="1" x14ac:dyDescent="0.55000000000000004">
      <c r="F198" s="26" t="s">
        <v>231</v>
      </c>
      <c r="G198" s="26"/>
    </row>
    <row r="199" spans="1:8" ht="20.25" customHeight="1" thickTop="1" x14ac:dyDescent="0.5">
      <c r="A199" s="190" t="s">
        <v>18</v>
      </c>
      <c r="B199" s="191"/>
      <c r="C199" s="191"/>
      <c r="D199" s="192"/>
      <c r="E199" s="68"/>
      <c r="F199" s="190" t="s">
        <v>19</v>
      </c>
      <c r="G199" s="191"/>
      <c r="H199" s="192"/>
    </row>
    <row r="200" spans="1:8" ht="20.25" customHeight="1" x14ac:dyDescent="0.5">
      <c r="A200" s="197" t="s">
        <v>20</v>
      </c>
      <c r="B200" s="198"/>
      <c r="C200" s="197" t="s">
        <v>22</v>
      </c>
      <c r="D200" s="198"/>
      <c r="E200" s="193" t="s">
        <v>0</v>
      </c>
      <c r="F200" s="69" t="s">
        <v>23</v>
      </c>
      <c r="G200" s="197" t="s">
        <v>22</v>
      </c>
      <c r="H200" s="198"/>
    </row>
    <row r="201" spans="1:8" ht="20.25" customHeight="1" thickBot="1" x14ac:dyDescent="0.55000000000000004">
      <c r="A201" s="195" t="s">
        <v>21</v>
      </c>
      <c r="B201" s="196"/>
      <c r="C201" s="195" t="s">
        <v>21</v>
      </c>
      <c r="D201" s="196"/>
      <c r="E201" s="194"/>
      <c r="F201" s="70" t="s">
        <v>24</v>
      </c>
      <c r="G201" s="195" t="s">
        <v>21</v>
      </c>
      <c r="H201" s="196"/>
    </row>
    <row r="202" spans="1:8" ht="20.25" customHeight="1" thickTop="1" x14ac:dyDescent="0.5">
      <c r="A202" s="32"/>
      <c r="B202" s="33"/>
      <c r="C202" s="165"/>
      <c r="D202" s="166"/>
      <c r="E202" s="26" t="s">
        <v>36</v>
      </c>
      <c r="F202" s="34"/>
      <c r="G202" s="165"/>
      <c r="H202" s="166"/>
    </row>
    <row r="203" spans="1:8" ht="20.25" customHeight="1" x14ac:dyDescent="0.5">
      <c r="A203" s="35">
        <v>21297500</v>
      </c>
      <c r="B203" s="36" t="s">
        <v>16</v>
      </c>
      <c r="C203" s="157">
        <f>C154+G203</f>
        <v>1578206</v>
      </c>
      <c r="D203" s="158"/>
      <c r="E203" s="22" t="s">
        <v>12</v>
      </c>
      <c r="F203" s="34" t="s">
        <v>62</v>
      </c>
      <c r="G203" s="157">
        <v>38870</v>
      </c>
      <c r="H203" s="158"/>
    </row>
    <row r="204" spans="1:8" ht="20.25" customHeight="1" x14ac:dyDescent="0.5">
      <c r="A204" s="35">
        <f>756000+480000+247500+1620000+3116486+373200+240000+1600080+299160+42000+809340+58080+42000+3439694+31440+387600+67200+1015440+177840+42000+729900+36000+120000</f>
        <v>15730960</v>
      </c>
      <c r="B204" s="36" t="s">
        <v>16</v>
      </c>
      <c r="C204" s="157">
        <f t="shared" ref="C204:C213" si="10">C155+G204</f>
        <v>4917351</v>
      </c>
      <c r="D204" s="158"/>
      <c r="E204" s="22" t="s">
        <v>4</v>
      </c>
      <c r="F204" s="34" t="s">
        <v>85</v>
      </c>
      <c r="G204" s="157">
        <v>1059855</v>
      </c>
      <c r="H204" s="158"/>
    </row>
    <row r="205" spans="1:8" ht="20.25" customHeight="1" x14ac:dyDescent="0.5">
      <c r="A205" s="35">
        <f>1928880+1092120+996960+594240+1165200+730800+78000+31000+997200+694800+640800+457200</f>
        <v>9407200</v>
      </c>
      <c r="B205" s="36" t="s">
        <v>16</v>
      </c>
      <c r="C205" s="157">
        <f t="shared" si="10"/>
        <v>3170950</v>
      </c>
      <c r="D205" s="158"/>
      <c r="E205" s="22" t="s">
        <v>5</v>
      </c>
      <c r="F205" s="34" t="s">
        <v>86</v>
      </c>
      <c r="G205" s="157">
        <v>629390</v>
      </c>
      <c r="H205" s="158"/>
    </row>
    <row r="206" spans="1:8" ht="20.25" customHeight="1" x14ac:dyDescent="0.5">
      <c r="A206" s="35">
        <f>152000+1430000+400000+60000+30000+50000</f>
        <v>2122000</v>
      </c>
      <c r="B206" s="36" t="s">
        <v>16</v>
      </c>
      <c r="C206" s="157">
        <f t="shared" si="10"/>
        <v>73203.5</v>
      </c>
      <c r="D206" s="158"/>
      <c r="E206" s="22" t="s">
        <v>6</v>
      </c>
      <c r="F206" s="34" t="s">
        <v>64</v>
      </c>
      <c r="G206" s="157">
        <f>14017.5</f>
        <v>14017.5</v>
      </c>
      <c r="H206" s="158"/>
    </row>
    <row r="207" spans="1:8" ht="20.25" customHeight="1" x14ac:dyDescent="0.5">
      <c r="A207" s="35">
        <f>347000+4100000+2453500+3666000+3806600+1328000</f>
        <v>15701100</v>
      </c>
      <c r="B207" s="36" t="s">
        <v>16</v>
      </c>
      <c r="C207" s="157">
        <f t="shared" si="10"/>
        <v>7712387</v>
      </c>
      <c r="D207" s="158"/>
      <c r="E207" s="22" t="s">
        <v>7</v>
      </c>
      <c r="F207" s="34" t="s">
        <v>65</v>
      </c>
      <c r="G207" s="157">
        <f>1561769-18160+7000+4046+7000+4046+3006+18560</f>
        <v>1587267</v>
      </c>
      <c r="H207" s="158"/>
    </row>
    <row r="208" spans="1:8" ht="20.25" customHeight="1" x14ac:dyDescent="0.5">
      <c r="A208" s="35">
        <f>210000+980000+839000+1540000+1276240+280000</f>
        <v>5125240</v>
      </c>
      <c r="B208" s="36" t="s">
        <v>16</v>
      </c>
      <c r="C208" s="157">
        <f t="shared" si="10"/>
        <v>2041397.85</v>
      </c>
      <c r="D208" s="158"/>
      <c r="E208" s="22" t="s">
        <v>8</v>
      </c>
      <c r="F208" s="34" t="s">
        <v>66</v>
      </c>
      <c r="G208" s="157">
        <f>760291.19+18160</f>
        <v>778451.19</v>
      </c>
      <c r="H208" s="158"/>
    </row>
    <row r="209" spans="1:9" ht="20.25" customHeight="1" x14ac:dyDescent="0.5">
      <c r="A209" s="35">
        <v>930000</v>
      </c>
      <c r="B209" s="36" t="s">
        <v>16</v>
      </c>
      <c r="C209" s="157">
        <f t="shared" si="10"/>
        <v>504279.17000000004</v>
      </c>
      <c r="D209" s="158"/>
      <c r="E209" s="22" t="s">
        <v>9</v>
      </c>
      <c r="F209" s="34" t="s">
        <v>67</v>
      </c>
      <c r="G209" s="157">
        <v>84535.21</v>
      </c>
      <c r="H209" s="158"/>
    </row>
    <row r="210" spans="1:9" ht="20.25" customHeight="1" x14ac:dyDescent="0.5">
      <c r="A210" s="35">
        <f>1048000+942000</f>
        <v>1990000</v>
      </c>
      <c r="B210" s="36"/>
      <c r="C210" s="157">
        <f t="shared" si="10"/>
        <v>1332536.7</v>
      </c>
      <c r="D210" s="158"/>
      <c r="E210" s="22" t="s">
        <v>13</v>
      </c>
      <c r="F210" s="34" t="s">
        <v>68</v>
      </c>
      <c r="G210" s="157">
        <v>30000</v>
      </c>
      <c r="H210" s="158"/>
    </row>
    <row r="211" spans="1:9" ht="20.25" customHeight="1" x14ac:dyDescent="0.5">
      <c r="A211" s="35">
        <f>140000+118000+799400+3243800+137000+912800</f>
        <v>5351000</v>
      </c>
      <c r="B211" s="36" t="s">
        <v>16</v>
      </c>
      <c r="C211" s="157">
        <f t="shared" si="10"/>
        <v>2876600</v>
      </c>
      <c r="D211" s="158"/>
      <c r="E211" s="22" t="s">
        <v>10</v>
      </c>
      <c r="F211" s="34" t="s">
        <v>69</v>
      </c>
      <c r="G211" s="157">
        <v>199000</v>
      </c>
      <c r="H211" s="158"/>
    </row>
    <row r="212" spans="1:9" ht="20.25" customHeight="1" x14ac:dyDescent="0.5">
      <c r="A212" s="13">
        <f>310000+8231000+650000</f>
        <v>9191000</v>
      </c>
      <c r="B212" s="36"/>
      <c r="C212" s="157">
        <f t="shared" si="10"/>
        <v>690800</v>
      </c>
      <c r="D212" s="158"/>
      <c r="E212" s="22" t="s">
        <v>96</v>
      </c>
      <c r="F212" s="34" t="s">
        <v>70</v>
      </c>
      <c r="G212" s="157">
        <v>200000</v>
      </c>
      <c r="H212" s="158"/>
    </row>
    <row r="213" spans="1:9" ht="20.25" customHeight="1" x14ac:dyDescent="0.5">
      <c r="A213" s="13"/>
      <c r="B213" s="36"/>
      <c r="C213" s="157">
        <f t="shared" si="10"/>
        <v>0</v>
      </c>
      <c r="D213" s="158"/>
      <c r="E213" s="22" t="s">
        <v>97</v>
      </c>
      <c r="F213" s="37" t="s">
        <v>94</v>
      </c>
      <c r="G213" s="157"/>
      <c r="H213" s="158"/>
    </row>
    <row r="214" spans="1:9" ht="20.25" customHeight="1" thickBot="1" x14ac:dyDescent="0.55000000000000004">
      <c r="A214" s="71">
        <f>SUM(A203:A213)</f>
        <v>86846000</v>
      </c>
      <c r="B214" s="72" t="s">
        <v>16</v>
      </c>
      <c r="C214" s="188">
        <f>SUM(C203:C213)</f>
        <v>24897711.220000003</v>
      </c>
      <c r="D214" s="189"/>
      <c r="E214" s="73"/>
      <c r="F214" s="34"/>
      <c r="G214" s="188">
        <f>SUM(G203:G213)</f>
        <v>4621385.9000000004</v>
      </c>
      <c r="H214" s="189"/>
      <c r="I214" s="40">
        <f>G214+G216+G218+G219+G220</f>
        <v>5902645.9000000004</v>
      </c>
    </row>
    <row r="215" spans="1:9" ht="20.25" customHeight="1" thickTop="1" x14ac:dyDescent="0.5">
      <c r="C215" s="165">
        <f>G215</f>
        <v>0</v>
      </c>
      <c r="D215" s="166"/>
      <c r="E215" s="65" t="s">
        <v>134</v>
      </c>
      <c r="F215" s="34"/>
      <c r="G215" s="165">
        <v>0</v>
      </c>
      <c r="H215" s="166"/>
    </row>
    <row r="216" spans="1:9" ht="20.25" customHeight="1" x14ac:dyDescent="0.5">
      <c r="C216" s="155">
        <f>C167+G216</f>
        <v>6180500</v>
      </c>
      <c r="D216" s="156"/>
      <c r="E216" s="38" t="s">
        <v>136</v>
      </c>
      <c r="F216" s="34"/>
      <c r="G216" s="155">
        <v>1113200</v>
      </c>
      <c r="H216" s="156"/>
    </row>
    <row r="217" spans="1:9" ht="20.25" customHeight="1" x14ac:dyDescent="0.5">
      <c r="C217" s="157">
        <f t="shared" ref="C217:C221" si="11">G217</f>
        <v>0</v>
      </c>
      <c r="D217" s="158"/>
      <c r="E217" s="43" t="s">
        <v>135</v>
      </c>
      <c r="F217" s="34"/>
      <c r="G217" s="157">
        <v>0</v>
      </c>
      <c r="H217" s="158"/>
      <c r="I217" s="40">
        <f>C215+D217</f>
        <v>0</v>
      </c>
    </row>
    <row r="218" spans="1:9" ht="20.25" customHeight="1" x14ac:dyDescent="0.5">
      <c r="C218" s="113">
        <f t="shared" si="11"/>
        <v>3060</v>
      </c>
      <c r="D218" s="114">
        <f>SUM(C218)</f>
        <v>3060</v>
      </c>
      <c r="E218" s="22" t="s">
        <v>12</v>
      </c>
      <c r="F218" s="34"/>
      <c r="G218" s="157">
        <v>3060</v>
      </c>
      <c r="H218" s="158"/>
    </row>
    <row r="219" spans="1:9" ht="20.25" customHeight="1" x14ac:dyDescent="0.5">
      <c r="C219" s="113">
        <f t="shared" si="11"/>
        <v>75000</v>
      </c>
      <c r="D219" s="114">
        <f>SUM(C219)</f>
        <v>75000</v>
      </c>
      <c r="E219" s="22" t="s">
        <v>4</v>
      </c>
      <c r="F219" s="34"/>
      <c r="G219" s="157">
        <f>15000*5</f>
        <v>75000</v>
      </c>
      <c r="H219" s="158"/>
    </row>
    <row r="220" spans="1:9" ht="20.25" customHeight="1" x14ac:dyDescent="0.5">
      <c r="C220" s="113">
        <f t="shared" si="11"/>
        <v>90000</v>
      </c>
      <c r="D220" s="114">
        <f>SUM(C220)</f>
        <v>90000</v>
      </c>
      <c r="E220" s="22" t="s">
        <v>5</v>
      </c>
      <c r="F220" s="34"/>
      <c r="G220" s="157">
        <f>18000*5</f>
        <v>90000</v>
      </c>
      <c r="H220" s="158"/>
    </row>
    <row r="221" spans="1:9" ht="20.25" customHeight="1" x14ac:dyDescent="0.5">
      <c r="C221" s="113">
        <f t="shared" si="11"/>
        <v>0</v>
      </c>
      <c r="D221" s="114">
        <f>SUM(C221)</f>
        <v>0</v>
      </c>
      <c r="E221" s="22" t="s">
        <v>8</v>
      </c>
      <c r="F221" s="34"/>
      <c r="G221" s="157">
        <v>0</v>
      </c>
      <c r="H221" s="158"/>
    </row>
    <row r="222" spans="1:9" ht="20.25" customHeight="1" x14ac:dyDescent="0.5">
      <c r="C222" s="157">
        <v>489780</v>
      </c>
      <c r="D222" s="158"/>
      <c r="E222" s="22" t="s">
        <v>7</v>
      </c>
      <c r="F222" s="34"/>
      <c r="G222" s="157">
        <v>0</v>
      </c>
      <c r="H222" s="158"/>
    </row>
    <row r="223" spans="1:9" ht="20.25" customHeight="1" x14ac:dyDescent="0.5">
      <c r="C223" s="157">
        <f>D173</f>
        <v>0</v>
      </c>
      <c r="D223" s="158"/>
      <c r="E223" s="22" t="s">
        <v>6</v>
      </c>
      <c r="F223" s="34"/>
      <c r="G223" s="157">
        <v>0</v>
      </c>
      <c r="H223" s="158"/>
    </row>
    <row r="224" spans="1:9" ht="20.25" customHeight="1" x14ac:dyDescent="0.5">
      <c r="C224" s="155">
        <f>C175</f>
        <v>1457678.55</v>
      </c>
      <c r="D224" s="156"/>
      <c r="E224" s="22" t="s">
        <v>112</v>
      </c>
      <c r="F224" s="34"/>
      <c r="G224" s="157">
        <v>0</v>
      </c>
      <c r="H224" s="158"/>
    </row>
    <row r="225" spans="1:8" ht="20.25" customHeight="1" x14ac:dyDescent="0.5">
      <c r="C225" s="157">
        <v>0</v>
      </c>
      <c r="D225" s="158"/>
      <c r="E225" s="22" t="s">
        <v>172</v>
      </c>
      <c r="F225" s="34" t="s">
        <v>127</v>
      </c>
      <c r="G225" s="157">
        <v>0</v>
      </c>
      <c r="H225" s="158"/>
    </row>
    <row r="226" spans="1:8" ht="20.25" customHeight="1" x14ac:dyDescent="0.5">
      <c r="C226" s="157">
        <f>C177+G226</f>
        <v>3116036.9</v>
      </c>
      <c r="D226" s="158"/>
      <c r="E226" s="22" t="s">
        <v>37</v>
      </c>
      <c r="F226" s="34" t="s">
        <v>74</v>
      </c>
      <c r="G226" s="157">
        <f>'รายละเอียด(หมายเหตุ2)'!E168</f>
        <v>1042096.99</v>
      </c>
      <c r="H226" s="158"/>
    </row>
    <row r="227" spans="1:8" ht="20.25" customHeight="1" x14ac:dyDescent="0.5">
      <c r="C227" s="157">
        <f>C178+G227</f>
        <v>277866</v>
      </c>
      <c r="D227" s="158"/>
      <c r="E227" s="22" t="s">
        <v>34</v>
      </c>
      <c r="F227" s="34" t="s">
        <v>61</v>
      </c>
      <c r="G227" s="157">
        <f>11667-1215</f>
        <v>10452</v>
      </c>
      <c r="H227" s="158"/>
    </row>
    <row r="228" spans="1:8" ht="20.25" customHeight="1" x14ac:dyDescent="0.5">
      <c r="C228" s="157">
        <f t="shared" ref="C228:C232" si="12">C179+G228</f>
        <v>3971625</v>
      </c>
      <c r="D228" s="158"/>
      <c r="E228" s="22" t="s">
        <v>56</v>
      </c>
      <c r="F228" s="34" t="s">
        <v>60</v>
      </c>
      <c r="G228" s="157">
        <f>227850+1215</f>
        <v>229065</v>
      </c>
      <c r="H228" s="158"/>
    </row>
    <row r="229" spans="1:8" ht="20.25" customHeight="1" x14ac:dyDescent="0.5">
      <c r="C229" s="157">
        <f t="shared" si="12"/>
        <v>582914</v>
      </c>
      <c r="D229" s="158"/>
      <c r="E229" s="22" t="s">
        <v>87</v>
      </c>
      <c r="F229" s="34" t="s">
        <v>75</v>
      </c>
      <c r="G229" s="157"/>
      <c r="H229" s="158"/>
    </row>
    <row r="230" spans="1:8" ht="20.25" customHeight="1" x14ac:dyDescent="0.5">
      <c r="C230" s="157">
        <f t="shared" si="12"/>
        <v>6668</v>
      </c>
      <c r="D230" s="158"/>
      <c r="E230" s="22" t="s">
        <v>92</v>
      </c>
      <c r="F230" s="34" t="s">
        <v>93</v>
      </c>
      <c r="G230" s="157">
        <v>0</v>
      </c>
      <c r="H230" s="158"/>
    </row>
    <row r="231" spans="1:8" ht="20.25" customHeight="1" x14ac:dyDescent="0.5">
      <c r="C231" s="157">
        <f t="shared" si="12"/>
        <v>266400</v>
      </c>
      <c r="D231" s="158"/>
      <c r="E231" s="22" t="s">
        <v>221</v>
      </c>
      <c r="F231" s="34" t="s">
        <v>146</v>
      </c>
      <c r="G231" s="157">
        <v>0</v>
      </c>
      <c r="H231" s="158"/>
    </row>
    <row r="232" spans="1:8" ht="20.25" customHeight="1" x14ac:dyDescent="0.5">
      <c r="A232" s="40"/>
      <c r="C232" s="157">
        <f t="shared" si="12"/>
        <v>943939</v>
      </c>
      <c r="D232" s="158"/>
      <c r="E232" s="22" t="s">
        <v>114</v>
      </c>
      <c r="F232" s="34" t="s">
        <v>145</v>
      </c>
      <c r="G232" s="157">
        <v>0</v>
      </c>
      <c r="H232" s="158"/>
    </row>
    <row r="233" spans="1:8" ht="20.25" customHeight="1" x14ac:dyDescent="0.5">
      <c r="A233" s="40"/>
      <c r="B233" s="112"/>
      <c r="C233" s="186">
        <f>G233</f>
        <v>8.14</v>
      </c>
      <c r="D233" s="187"/>
      <c r="E233" s="22" t="s">
        <v>224</v>
      </c>
      <c r="F233" s="34" t="s">
        <v>225</v>
      </c>
      <c r="G233" s="157">
        <v>8.14</v>
      </c>
      <c r="H233" s="158"/>
    </row>
    <row r="234" spans="1:8" ht="20.25" customHeight="1" x14ac:dyDescent="0.5">
      <c r="C234" s="157">
        <f>C184+G234</f>
        <v>694108.67999999993</v>
      </c>
      <c r="D234" s="158"/>
      <c r="E234" s="22" t="s">
        <v>55</v>
      </c>
      <c r="F234" s="37" t="s">
        <v>73</v>
      </c>
      <c r="G234" s="157">
        <v>200000</v>
      </c>
      <c r="H234" s="158"/>
    </row>
    <row r="235" spans="1:8" ht="20.25" customHeight="1" x14ac:dyDescent="0.5">
      <c r="C235" s="183">
        <f>SUM(C216:C234)</f>
        <v>18155584.27</v>
      </c>
      <c r="D235" s="184"/>
      <c r="F235" s="39"/>
      <c r="G235" s="183">
        <f>SUM(G215:G234)</f>
        <v>2762882.1300000004</v>
      </c>
      <c r="H235" s="184"/>
    </row>
    <row r="236" spans="1:8" ht="20.25" customHeight="1" thickBot="1" x14ac:dyDescent="0.55000000000000004">
      <c r="C236" s="188">
        <f>C214+C235</f>
        <v>43053295.490000002</v>
      </c>
      <c r="D236" s="189"/>
      <c r="E236" s="74" t="s">
        <v>38</v>
      </c>
      <c r="G236" s="188">
        <f>G214+G235</f>
        <v>7384268.0300000012</v>
      </c>
      <c r="H236" s="189"/>
    </row>
    <row r="237" spans="1:8" ht="20.25" customHeight="1" thickTop="1" x14ac:dyDescent="0.5">
      <c r="C237" s="76"/>
      <c r="D237" s="77"/>
      <c r="E237" s="74"/>
      <c r="G237" s="76"/>
      <c r="H237" s="77"/>
    </row>
    <row r="238" spans="1:8" ht="20.25" customHeight="1" x14ac:dyDescent="0.5">
      <c r="C238" s="155">
        <f>'งบรับจ่ายเงินสด  57'!C217:D217-'ใบต่อ  57'!C236:D236</f>
        <v>29678403.469999991</v>
      </c>
      <c r="D238" s="156"/>
      <c r="E238" s="74" t="s">
        <v>39</v>
      </c>
      <c r="G238" s="155">
        <f>'งบรับจ่ายเงินสด  57'!G217:H217-'ใบต่อ  57'!G236:H236</f>
        <v>4460323.6799999978</v>
      </c>
      <c r="H238" s="156"/>
    </row>
    <row r="239" spans="1:8" ht="20.25" customHeight="1" x14ac:dyDescent="0.5">
      <c r="C239" s="157"/>
      <c r="D239" s="158"/>
      <c r="E239" s="74" t="s">
        <v>40</v>
      </c>
      <c r="G239" s="157"/>
      <c r="H239" s="158"/>
    </row>
    <row r="240" spans="1:8" ht="20.25" customHeight="1" x14ac:dyDescent="0.5">
      <c r="C240" s="157"/>
      <c r="D240" s="158"/>
      <c r="E240" s="74" t="s">
        <v>41</v>
      </c>
      <c r="G240" s="155"/>
      <c r="H240" s="156"/>
    </row>
    <row r="241" spans="1:9" ht="20.25" customHeight="1" thickBot="1" x14ac:dyDescent="0.55000000000000004">
      <c r="C241" s="188">
        <f>'งบรับจ่ายเงินสด  57'!C182:D182+'งบรับจ่ายเงินสด  57'!C217:D217-'ใบต่อ  57'!C236:D236</f>
        <v>83422584.949999988</v>
      </c>
      <c r="D241" s="189"/>
      <c r="E241" s="74" t="s">
        <v>42</v>
      </c>
      <c r="G241" s="188">
        <f>'งบรับจ่ายเงินสด  57'!G182:H182+'งบรับจ่ายเงินสด  57'!G217:H217-'ใบต่อ  57'!G236:H236</f>
        <v>83422584.950000003</v>
      </c>
      <c r="H241" s="189"/>
      <c r="I241" s="67">
        <f>C241-G241</f>
        <v>0</v>
      </c>
    </row>
    <row r="242" spans="1:9" ht="20.25" customHeight="1" thickTop="1" x14ac:dyDescent="0.5">
      <c r="C242" s="41" t="s">
        <v>173</v>
      </c>
      <c r="D242" s="41"/>
      <c r="E242" s="74"/>
      <c r="G242" s="75"/>
      <c r="H242" s="75"/>
    </row>
    <row r="243" spans="1:9" ht="20.25" customHeight="1" x14ac:dyDescent="0.5">
      <c r="A243" s="31" t="s">
        <v>120</v>
      </c>
      <c r="C243" s="41"/>
      <c r="D243" s="41"/>
      <c r="E243" s="115" t="s">
        <v>120</v>
      </c>
      <c r="F243" s="22" t="s">
        <v>123</v>
      </c>
      <c r="G243" s="75"/>
      <c r="H243" s="75"/>
      <c r="I243" s="67">
        <f>G242-I241</f>
        <v>0</v>
      </c>
    </row>
    <row r="244" spans="1:9" ht="20.25" customHeight="1" x14ac:dyDescent="0.5">
      <c r="A244" s="31" t="s">
        <v>121</v>
      </c>
      <c r="C244" s="41"/>
      <c r="D244" s="41"/>
      <c r="E244" s="115" t="s">
        <v>100</v>
      </c>
      <c r="F244" s="185" t="s">
        <v>149</v>
      </c>
      <c r="G244" s="185"/>
      <c r="H244" s="185"/>
    </row>
    <row r="245" spans="1:9" ht="20.25" customHeight="1" x14ac:dyDescent="0.5">
      <c r="A245" s="31" t="s">
        <v>122</v>
      </c>
      <c r="C245" s="41"/>
      <c r="D245" s="41"/>
      <c r="E245" s="115" t="s">
        <v>101</v>
      </c>
      <c r="F245" s="22" t="s">
        <v>205</v>
      </c>
      <c r="G245" s="75"/>
      <c r="H245" s="75"/>
    </row>
    <row r="246" spans="1:9" ht="20.25" customHeight="1" x14ac:dyDescent="0.5">
      <c r="C246" s="41"/>
      <c r="D246" s="41"/>
      <c r="E246" s="124"/>
      <c r="G246" s="75"/>
      <c r="H246" s="75"/>
    </row>
    <row r="248" spans="1:9" ht="20.25" customHeight="1" thickBot="1" x14ac:dyDescent="0.55000000000000004">
      <c r="F248" s="26" t="s">
        <v>235</v>
      </c>
      <c r="G248" s="26"/>
    </row>
    <row r="249" spans="1:9" ht="20.25" customHeight="1" thickTop="1" x14ac:dyDescent="0.5">
      <c r="A249" s="190" t="s">
        <v>18</v>
      </c>
      <c r="B249" s="191"/>
      <c r="C249" s="191"/>
      <c r="D249" s="192"/>
      <c r="E249" s="68"/>
      <c r="F249" s="190" t="s">
        <v>19</v>
      </c>
      <c r="G249" s="191"/>
      <c r="H249" s="192"/>
    </row>
    <row r="250" spans="1:9" ht="20.25" customHeight="1" x14ac:dyDescent="0.5">
      <c r="A250" s="197" t="s">
        <v>20</v>
      </c>
      <c r="B250" s="198"/>
      <c r="C250" s="197" t="s">
        <v>22</v>
      </c>
      <c r="D250" s="198"/>
      <c r="E250" s="193" t="s">
        <v>0</v>
      </c>
      <c r="F250" s="69" t="s">
        <v>23</v>
      </c>
      <c r="G250" s="197" t="s">
        <v>22</v>
      </c>
      <c r="H250" s="198"/>
    </row>
    <row r="251" spans="1:9" ht="20.25" customHeight="1" thickBot="1" x14ac:dyDescent="0.55000000000000004">
      <c r="A251" s="195" t="s">
        <v>21</v>
      </c>
      <c r="B251" s="196"/>
      <c r="C251" s="195" t="s">
        <v>21</v>
      </c>
      <c r="D251" s="196"/>
      <c r="E251" s="194"/>
      <c r="F251" s="70" t="s">
        <v>24</v>
      </c>
      <c r="G251" s="195" t="s">
        <v>21</v>
      </c>
      <c r="H251" s="196"/>
    </row>
    <row r="252" spans="1:9" ht="20.25" customHeight="1" thickTop="1" x14ac:dyDescent="0.5">
      <c r="A252" s="32"/>
      <c r="B252" s="33"/>
      <c r="C252" s="165"/>
      <c r="D252" s="166"/>
      <c r="E252" s="26" t="s">
        <v>36</v>
      </c>
      <c r="F252" s="34"/>
      <c r="G252" s="165"/>
      <c r="H252" s="166"/>
    </row>
    <row r="253" spans="1:9" ht="20.25" customHeight="1" x14ac:dyDescent="0.5">
      <c r="A253" s="35">
        <v>21297500</v>
      </c>
      <c r="B253" s="36" t="s">
        <v>16</v>
      </c>
      <c r="C253" s="157">
        <f t="shared" ref="C253:C263" si="13">C203+G253</f>
        <v>2196518.5</v>
      </c>
      <c r="D253" s="158"/>
      <c r="E253" s="22" t="s">
        <v>12</v>
      </c>
      <c r="F253" s="34" t="s">
        <v>62</v>
      </c>
      <c r="G253" s="157">
        <v>618312.5</v>
      </c>
      <c r="H253" s="158"/>
    </row>
    <row r="254" spans="1:9" ht="20.25" customHeight="1" x14ac:dyDescent="0.5">
      <c r="A254" s="35">
        <f>756000+480000+247500+1620000+3116486+373200+240000+1600080+299160+42000+809340+58080+42000+3439694+31440+387600+67200+1015440+177840+42000+729900+36000+120000</f>
        <v>15730960</v>
      </c>
      <c r="B254" s="36" t="s">
        <v>16</v>
      </c>
      <c r="C254" s="157">
        <f t="shared" si="13"/>
        <v>5975106</v>
      </c>
      <c r="D254" s="158"/>
      <c r="E254" s="22" t="s">
        <v>4</v>
      </c>
      <c r="F254" s="34" t="s">
        <v>85</v>
      </c>
      <c r="G254" s="157">
        <v>1057755</v>
      </c>
      <c r="H254" s="158"/>
    </row>
    <row r="255" spans="1:9" ht="20.25" customHeight="1" x14ac:dyDescent="0.5">
      <c r="A255" s="35">
        <f>1928880+1092120+996960+594240+1165200+730800+78000+31000+997200+694800+640800+457200</f>
        <v>9407200</v>
      </c>
      <c r="B255" s="36" t="s">
        <v>16</v>
      </c>
      <c r="C255" s="157">
        <f t="shared" si="13"/>
        <v>3802200</v>
      </c>
      <c r="D255" s="158"/>
      <c r="E255" s="22" t="s">
        <v>5</v>
      </c>
      <c r="F255" s="34" t="s">
        <v>86</v>
      </c>
      <c r="G255" s="157">
        <v>631250</v>
      </c>
      <c r="H255" s="158"/>
    </row>
    <row r="256" spans="1:9" ht="20.25" customHeight="1" x14ac:dyDescent="0.5">
      <c r="A256" s="35">
        <f>152000+1430000+400000+60000+30000+50000</f>
        <v>2122000</v>
      </c>
      <c r="B256" s="36" t="s">
        <v>16</v>
      </c>
      <c r="C256" s="157">
        <f t="shared" si="13"/>
        <v>81503.5</v>
      </c>
      <c r="D256" s="158"/>
      <c r="E256" s="22" t="s">
        <v>6</v>
      </c>
      <c r="F256" s="34" t="s">
        <v>64</v>
      </c>
      <c r="G256" s="157">
        <v>8300</v>
      </c>
      <c r="H256" s="158"/>
    </row>
    <row r="257" spans="1:8" ht="20.25" customHeight="1" x14ac:dyDescent="0.5">
      <c r="A257" s="35">
        <f>347000+4100000+2453500+3666000+3806600+1328000</f>
        <v>15701100</v>
      </c>
      <c r="B257" s="36" t="s">
        <v>16</v>
      </c>
      <c r="C257" s="157">
        <f t="shared" si="13"/>
        <v>8225917.1900000004</v>
      </c>
      <c r="D257" s="158"/>
      <c r="E257" s="22" t="s">
        <v>7</v>
      </c>
      <c r="F257" s="34" t="s">
        <v>65</v>
      </c>
      <c r="G257" s="157">
        <f>503272.19+2812+7446</f>
        <v>513530.19</v>
      </c>
      <c r="H257" s="158"/>
    </row>
    <row r="258" spans="1:8" ht="20.25" customHeight="1" x14ac:dyDescent="0.5">
      <c r="A258" s="35">
        <f>210000+980000+839000+1540000+1276240+280000</f>
        <v>5125240</v>
      </c>
      <c r="B258" s="36" t="s">
        <v>16</v>
      </c>
      <c r="C258" s="157">
        <f t="shared" si="13"/>
        <v>2264265.85</v>
      </c>
      <c r="D258" s="158"/>
      <c r="E258" s="22" t="s">
        <v>8</v>
      </c>
      <c r="F258" s="34" t="s">
        <v>66</v>
      </c>
      <c r="G258" s="157">
        <v>222868</v>
      </c>
      <c r="H258" s="158"/>
    </row>
    <row r="259" spans="1:8" ht="20.25" customHeight="1" x14ac:dyDescent="0.5">
      <c r="A259" s="35">
        <v>930000</v>
      </c>
      <c r="B259" s="36" t="s">
        <v>16</v>
      </c>
      <c r="C259" s="157">
        <f t="shared" si="13"/>
        <v>638882.52</v>
      </c>
      <c r="D259" s="158"/>
      <c r="E259" s="22" t="s">
        <v>9</v>
      </c>
      <c r="F259" s="34" t="s">
        <v>67</v>
      </c>
      <c r="G259" s="157">
        <v>134603.35</v>
      </c>
      <c r="H259" s="158"/>
    </row>
    <row r="260" spans="1:8" ht="20.25" customHeight="1" x14ac:dyDescent="0.5">
      <c r="A260" s="35">
        <f>1048000+942000</f>
        <v>1990000</v>
      </c>
      <c r="B260" s="36"/>
      <c r="C260" s="157">
        <f t="shared" si="13"/>
        <v>1332536.7</v>
      </c>
      <c r="D260" s="158"/>
      <c r="E260" s="22" t="s">
        <v>13</v>
      </c>
      <c r="F260" s="34" t="s">
        <v>68</v>
      </c>
      <c r="G260" s="157"/>
      <c r="H260" s="158"/>
    </row>
    <row r="261" spans="1:8" ht="20.25" customHeight="1" x14ac:dyDescent="0.5">
      <c r="A261" s="35">
        <f>140000+118000+799400+3243800+137000+912800</f>
        <v>5351000</v>
      </c>
      <c r="B261" s="36" t="s">
        <v>16</v>
      </c>
      <c r="C261" s="157">
        <f t="shared" si="13"/>
        <v>2876600</v>
      </c>
      <c r="D261" s="158"/>
      <c r="E261" s="22" t="s">
        <v>10</v>
      </c>
      <c r="F261" s="34" t="s">
        <v>69</v>
      </c>
      <c r="G261" s="157"/>
      <c r="H261" s="158"/>
    </row>
    <row r="262" spans="1:8" ht="20.25" customHeight="1" x14ac:dyDescent="0.5">
      <c r="A262" s="13">
        <f>310000+8231000+650000</f>
        <v>9191000</v>
      </c>
      <c r="B262" s="36"/>
      <c r="C262" s="157">
        <f t="shared" si="13"/>
        <v>1000800</v>
      </c>
      <c r="D262" s="158"/>
      <c r="E262" s="22" t="s">
        <v>96</v>
      </c>
      <c r="F262" s="34" t="s">
        <v>70</v>
      </c>
      <c r="G262" s="157">
        <v>310000</v>
      </c>
      <c r="H262" s="158"/>
    </row>
    <row r="263" spans="1:8" ht="20.25" customHeight="1" x14ac:dyDescent="0.5">
      <c r="A263" s="13"/>
      <c r="B263" s="36"/>
      <c r="C263" s="157">
        <f t="shared" si="13"/>
        <v>0</v>
      </c>
      <c r="D263" s="158"/>
      <c r="E263" s="22" t="s">
        <v>97</v>
      </c>
      <c r="F263" s="37" t="s">
        <v>94</v>
      </c>
      <c r="G263" s="157"/>
      <c r="H263" s="158"/>
    </row>
    <row r="264" spans="1:8" ht="20.25" customHeight="1" thickBot="1" x14ac:dyDescent="0.55000000000000004">
      <c r="A264" s="71">
        <f>SUM(A253:A263)</f>
        <v>86846000</v>
      </c>
      <c r="B264" s="72" t="s">
        <v>16</v>
      </c>
      <c r="C264" s="188">
        <f>SUM(C253:C263)</f>
        <v>28394330.260000002</v>
      </c>
      <c r="D264" s="189"/>
      <c r="E264" s="73"/>
      <c r="F264" s="34"/>
      <c r="G264" s="188">
        <f>SUM(G253:G263)</f>
        <v>3496619.04</v>
      </c>
      <c r="H264" s="189"/>
    </row>
    <row r="265" spans="1:8" ht="20.25" customHeight="1" thickTop="1" x14ac:dyDescent="0.5">
      <c r="C265" s="165">
        <f>G265</f>
        <v>0</v>
      </c>
      <c r="D265" s="166"/>
      <c r="E265" s="65" t="s">
        <v>134</v>
      </c>
      <c r="F265" s="34"/>
      <c r="G265" s="165">
        <v>0</v>
      </c>
      <c r="H265" s="166"/>
    </row>
    <row r="266" spans="1:8" ht="20.25" customHeight="1" x14ac:dyDescent="0.5">
      <c r="C266" s="155">
        <f>C216+G266</f>
        <v>7613400</v>
      </c>
      <c r="D266" s="156"/>
      <c r="E266" s="38" t="s">
        <v>136</v>
      </c>
      <c r="F266" s="34"/>
      <c r="G266" s="155">
        <f>1109300+324500-900</f>
        <v>1432900</v>
      </c>
      <c r="H266" s="156"/>
    </row>
    <row r="267" spans="1:8" ht="20.25" customHeight="1" x14ac:dyDescent="0.5">
      <c r="C267" s="157">
        <f t="shared" ref="C267:C271" si="14">G267</f>
        <v>0</v>
      </c>
      <c r="D267" s="158"/>
      <c r="E267" s="43" t="s">
        <v>135</v>
      </c>
      <c r="F267" s="34"/>
      <c r="G267" s="157">
        <v>0</v>
      </c>
      <c r="H267" s="158"/>
    </row>
    <row r="268" spans="1:8" ht="20.25" customHeight="1" x14ac:dyDescent="0.5">
      <c r="C268" s="120">
        <f t="shared" si="14"/>
        <v>900</v>
      </c>
      <c r="D268" s="121">
        <f>D218+G268</f>
        <v>3960</v>
      </c>
      <c r="E268" s="22" t="s">
        <v>12</v>
      </c>
      <c r="F268" s="34"/>
      <c r="G268" s="157">
        <v>900</v>
      </c>
      <c r="H268" s="158"/>
    </row>
    <row r="269" spans="1:8" ht="20.25" customHeight="1" x14ac:dyDescent="0.5">
      <c r="C269" s="120">
        <f t="shared" si="14"/>
        <v>15000</v>
      </c>
      <c r="D269" s="121">
        <f>D219+G269</f>
        <v>90000</v>
      </c>
      <c r="E269" s="22" t="s">
        <v>4</v>
      </c>
      <c r="F269" s="34"/>
      <c r="G269" s="157">
        <f>15000</f>
        <v>15000</v>
      </c>
      <c r="H269" s="158"/>
    </row>
    <row r="270" spans="1:8" ht="20.25" customHeight="1" x14ac:dyDescent="0.5">
      <c r="C270" s="120">
        <f t="shared" si="14"/>
        <v>18000</v>
      </c>
      <c r="D270" s="121">
        <f>D220+G270</f>
        <v>108000</v>
      </c>
      <c r="E270" s="22" t="s">
        <v>5</v>
      </c>
      <c r="F270" s="34"/>
      <c r="G270" s="157">
        <f>18000</f>
        <v>18000</v>
      </c>
      <c r="H270" s="158"/>
    </row>
    <row r="271" spans="1:8" ht="20.25" customHeight="1" x14ac:dyDescent="0.5">
      <c r="C271" s="120">
        <f t="shared" si="14"/>
        <v>0</v>
      </c>
      <c r="D271" s="121">
        <f>SUM(C271)</f>
        <v>0</v>
      </c>
      <c r="E271" s="22" t="s">
        <v>8</v>
      </c>
      <c r="F271" s="34"/>
      <c r="G271" s="157">
        <v>0</v>
      </c>
      <c r="H271" s="158"/>
    </row>
    <row r="272" spans="1:8" ht="20.25" customHeight="1" x14ac:dyDescent="0.5">
      <c r="C272" s="157">
        <v>489780</v>
      </c>
      <c r="D272" s="158"/>
      <c r="E272" s="22" t="s">
        <v>7</v>
      </c>
      <c r="F272" s="34"/>
      <c r="G272" s="157">
        <v>0</v>
      </c>
      <c r="H272" s="158"/>
    </row>
    <row r="273" spans="1:8" ht="20.25" customHeight="1" x14ac:dyDescent="0.5">
      <c r="C273" s="157">
        <f>G273</f>
        <v>25000</v>
      </c>
      <c r="D273" s="158"/>
      <c r="E273" s="22" t="s">
        <v>6</v>
      </c>
      <c r="F273" s="34"/>
      <c r="G273" s="157">
        <v>25000</v>
      </c>
      <c r="H273" s="158"/>
    </row>
    <row r="274" spans="1:8" ht="20.25" customHeight="1" x14ac:dyDescent="0.5">
      <c r="C274" s="155">
        <f>C224</f>
        <v>1457678.55</v>
      </c>
      <c r="D274" s="156"/>
      <c r="E274" s="22" t="s">
        <v>112</v>
      </c>
      <c r="F274" s="34"/>
      <c r="G274" s="157">
        <v>0</v>
      </c>
      <c r="H274" s="158"/>
    </row>
    <row r="275" spans="1:8" ht="20.25" customHeight="1" x14ac:dyDescent="0.5">
      <c r="C275" s="157">
        <v>0</v>
      </c>
      <c r="D275" s="158"/>
      <c r="E275" s="22" t="s">
        <v>172</v>
      </c>
      <c r="F275" s="34" t="s">
        <v>127</v>
      </c>
      <c r="G275" s="157">
        <v>0</v>
      </c>
      <c r="H275" s="158"/>
    </row>
    <row r="276" spans="1:8" ht="20.25" customHeight="1" x14ac:dyDescent="0.5">
      <c r="C276" s="157">
        <f>C226+G276</f>
        <v>4559046.8099999996</v>
      </c>
      <c r="D276" s="158"/>
      <c r="E276" s="22" t="s">
        <v>37</v>
      </c>
      <c r="F276" s="34" t="s">
        <v>74</v>
      </c>
      <c r="G276" s="157">
        <f>'รายละเอียด(หมายเหตุ2)'!E204</f>
        <v>1443009.91</v>
      </c>
      <c r="H276" s="158"/>
    </row>
    <row r="277" spans="1:8" ht="20.25" customHeight="1" x14ac:dyDescent="0.5">
      <c r="C277" s="157">
        <f t="shared" ref="C277:C284" si="15">C227+G277</f>
        <v>309732</v>
      </c>
      <c r="D277" s="158"/>
      <c r="E277" s="22" t="s">
        <v>34</v>
      </c>
      <c r="F277" s="34" t="s">
        <v>61</v>
      </c>
      <c r="G277" s="157">
        <v>31866</v>
      </c>
      <c r="H277" s="158"/>
    </row>
    <row r="278" spans="1:8" ht="20.25" customHeight="1" x14ac:dyDescent="0.5">
      <c r="C278" s="157">
        <f t="shared" si="15"/>
        <v>4152125</v>
      </c>
      <c r="D278" s="158"/>
      <c r="E278" s="22" t="s">
        <v>56</v>
      </c>
      <c r="F278" s="34" t="s">
        <v>60</v>
      </c>
      <c r="G278" s="157">
        <v>180500</v>
      </c>
      <c r="H278" s="158"/>
    </row>
    <row r="279" spans="1:8" ht="20.25" customHeight="1" x14ac:dyDescent="0.5">
      <c r="C279" s="157">
        <f t="shared" si="15"/>
        <v>582914</v>
      </c>
      <c r="D279" s="158"/>
      <c r="E279" s="22" t="s">
        <v>87</v>
      </c>
      <c r="F279" s="34" t="s">
        <v>75</v>
      </c>
      <c r="G279" s="157"/>
      <c r="H279" s="158"/>
    </row>
    <row r="280" spans="1:8" ht="20.25" customHeight="1" x14ac:dyDescent="0.5">
      <c r="C280" s="157">
        <f t="shared" si="15"/>
        <v>6668</v>
      </c>
      <c r="D280" s="158"/>
      <c r="E280" s="22" t="s">
        <v>92</v>
      </c>
      <c r="F280" s="34" t="s">
        <v>93</v>
      </c>
      <c r="G280" s="157">
        <v>0</v>
      </c>
      <c r="H280" s="158"/>
    </row>
    <row r="281" spans="1:8" ht="20.25" customHeight="1" x14ac:dyDescent="0.5">
      <c r="C281" s="157">
        <f t="shared" si="15"/>
        <v>266400</v>
      </c>
      <c r="D281" s="158"/>
      <c r="E281" s="22" t="s">
        <v>221</v>
      </c>
      <c r="F281" s="34" t="s">
        <v>146</v>
      </c>
      <c r="G281" s="157">
        <v>0</v>
      </c>
      <c r="H281" s="158"/>
    </row>
    <row r="282" spans="1:8" ht="20.25" customHeight="1" x14ac:dyDescent="0.5">
      <c r="A282" s="40"/>
      <c r="C282" s="157">
        <f t="shared" si="15"/>
        <v>953939</v>
      </c>
      <c r="D282" s="158"/>
      <c r="E282" s="22" t="s">
        <v>114</v>
      </c>
      <c r="F282" s="34" t="s">
        <v>145</v>
      </c>
      <c r="G282" s="157">
        <v>10000</v>
      </c>
      <c r="H282" s="158"/>
    </row>
    <row r="283" spans="1:8" ht="20.25" customHeight="1" x14ac:dyDescent="0.5">
      <c r="A283" s="40"/>
      <c r="B283" s="112"/>
      <c r="C283" s="157">
        <f t="shared" si="15"/>
        <v>8.14</v>
      </c>
      <c r="D283" s="158"/>
      <c r="E283" s="22" t="s">
        <v>224</v>
      </c>
      <c r="F283" s="34" t="s">
        <v>225</v>
      </c>
      <c r="G283" s="157">
        <v>0</v>
      </c>
      <c r="H283" s="158"/>
    </row>
    <row r="284" spans="1:8" ht="20.25" customHeight="1" x14ac:dyDescent="0.5">
      <c r="C284" s="157">
        <f t="shared" si="15"/>
        <v>1594108.68</v>
      </c>
      <c r="D284" s="158"/>
      <c r="E284" s="22" t="s">
        <v>55</v>
      </c>
      <c r="F284" s="37" t="s">
        <v>73</v>
      </c>
      <c r="G284" s="157">
        <v>900000</v>
      </c>
      <c r="H284" s="158"/>
    </row>
    <row r="285" spans="1:8" ht="20.25" customHeight="1" x14ac:dyDescent="0.5">
      <c r="C285" s="183">
        <f>C266+D268+D269+D270+C272+C273+C274+C276+C277+C278+C279+C280+C281+C282+C283+C284</f>
        <v>22212760.18</v>
      </c>
      <c r="D285" s="184"/>
      <c r="F285" s="39"/>
      <c r="G285" s="183">
        <f>SUM(G265:G284)</f>
        <v>4057175.91</v>
      </c>
      <c r="H285" s="184"/>
    </row>
    <row r="286" spans="1:8" ht="20.25" customHeight="1" thickBot="1" x14ac:dyDescent="0.55000000000000004">
      <c r="C286" s="188">
        <f>C264+C285</f>
        <v>50607090.439999998</v>
      </c>
      <c r="D286" s="189"/>
      <c r="E286" s="74" t="s">
        <v>38</v>
      </c>
      <c r="G286" s="188">
        <f>G264+G285</f>
        <v>7553794.9500000002</v>
      </c>
      <c r="H286" s="189"/>
    </row>
    <row r="287" spans="1:8" ht="20.25" customHeight="1" thickTop="1" x14ac:dyDescent="0.5">
      <c r="C287" s="76"/>
      <c r="D287" s="77"/>
      <c r="E287" s="74"/>
      <c r="G287" s="76"/>
      <c r="H287" s="77"/>
    </row>
    <row r="288" spans="1:8" ht="20.25" customHeight="1" x14ac:dyDescent="0.5">
      <c r="C288" s="155">
        <f>'งบรับจ่ายเงินสด  57'!C261:D261-'ใบต่อ  57'!C286:D286</f>
        <v>35833588.239999995</v>
      </c>
      <c r="D288" s="156"/>
      <c r="E288" s="74" t="s">
        <v>39</v>
      </c>
      <c r="G288" s="155">
        <f>'งบรับจ่ายเงินสด  57'!G261:H261-'ใบต่อ  57'!G286:H286</f>
        <v>6155184.7699999986</v>
      </c>
      <c r="H288" s="156"/>
    </row>
    <row r="289" spans="1:9" ht="20.25" customHeight="1" x14ac:dyDescent="0.5">
      <c r="C289" s="157"/>
      <c r="D289" s="158"/>
      <c r="E289" s="74" t="s">
        <v>40</v>
      </c>
      <c r="G289" s="157"/>
      <c r="H289" s="158"/>
    </row>
    <row r="290" spans="1:9" ht="20.25" customHeight="1" x14ac:dyDescent="0.5">
      <c r="C290" s="157"/>
      <c r="D290" s="158"/>
      <c r="E290" s="74" t="s">
        <v>41</v>
      </c>
      <c r="G290" s="155"/>
      <c r="H290" s="156"/>
    </row>
    <row r="291" spans="1:9" ht="20.25" customHeight="1" thickBot="1" x14ac:dyDescent="0.55000000000000004">
      <c r="C291" s="188">
        <f>'งบรับจ่ายเงินสด  57'!C226:D226+'งบรับจ่ายเงินสด  57'!C261:D261-'ใบต่อ  57'!C286:D286</f>
        <v>89577769.719999999</v>
      </c>
      <c r="D291" s="189"/>
      <c r="E291" s="74" t="s">
        <v>42</v>
      </c>
      <c r="G291" s="188">
        <f>'งบรับจ่ายเงินสด  57'!G226:H226+'งบรับจ่ายเงินสด  57'!G261:H261-'ใบต่อ  57'!G286:H286</f>
        <v>89577769.719999999</v>
      </c>
      <c r="H291" s="189"/>
      <c r="I291" s="22">
        <f>89586375.65-8605.93</f>
        <v>89577769.719999999</v>
      </c>
    </row>
    <row r="292" spans="1:9" ht="20.25" customHeight="1" thickTop="1" x14ac:dyDescent="0.5">
      <c r="C292" s="41" t="s">
        <v>173</v>
      </c>
      <c r="D292" s="41"/>
      <c r="E292" s="74"/>
      <c r="G292" s="75"/>
      <c r="H292" s="75"/>
      <c r="I292" s="40">
        <f>G291-I291</f>
        <v>0</v>
      </c>
    </row>
    <row r="293" spans="1:9" ht="20.25" customHeight="1" x14ac:dyDescent="0.5">
      <c r="A293" s="31" t="s">
        <v>120</v>
      </c>
      <c r="C293" s="41"/>
      <c r="D293" s="41"/>
      <c r="E293" s="124" t="s">
        <v>120</v>
      </c>
      <c r="F293" s="22" t="s">
        <v>123</v>
      </c>
      <c r="G293" s="75"/>
      <c r="H293" s="75"/>
    </row>
    <row r="294" spans="1:9" ht="20.25" customHeight="1" x14ac:dyDescent="0.5">
      <c r="A294" s="31" t="s">
        <v>121</v>
      </c>
      <c r="C294" s="41"/>
      <c r="D294" s="41"/>
      <c r="E294" s="124" t="s">
        <v>100</v>
      </c>
      <c r="F294" s="185" t="s">
        <v>149</v>
      </c>
      <c r="G294" s="185"/>
      <c r="H294" s="185"/>
    </row>
    <row r="295" spans="1:9" ht="20.25" customHeight="1" x14ac:dyDescent="0.5">
      <c r="A295" s="31" t="s">
        <v>122</v>
      </c>
      <c r="C295" s="41"/>
      <c r="D295" s="41"/>
      <c r="E295" s="124" t="s">
        <v>101</v>
      </c>
      <c r="F295" s="22" t="s">
        <v>205</v>
      </c>
      <c r="G295" s="75"/>
      <c r="H295" s="75"/>
    </row>
  </sheetData>
  <mergeCells count="497">
    <mergeCell ref="C290:D290"/>
    <mergeCell ref="G290:H290"/>
    <mergeCell ref="C291:D291"/>
    <mergeCell ref="G291:H291"/>
    <mergeCell ref="F294:H294"/>
    <mergeCell ref="C284:D284"/>
    <mergeCell ref="G284:H284"/>
    <mergeCell ref="C285:D285"/>
    <mergeCell ref="G285:H285"/>
    <mergeCell ref="C286:D286"/>
    <mergeCell ref="G286:H286"/>
    <mergeCell ref="C288:D288"/>
    <mergeCell ref="G288:H288"/>
    <mergeCell ref="C289:D289"/>
    <mergeCell ref="G289:H289"/>
    <mergeCell ref="C279:D279"/>
    <mergeCell ref="G279:H279"/>
    <mergeCell ref="C280:D280"/>
    <mergeCell ref="G280:H280"/>
    <mergeCell ref="C281:D281"/>
    <mergeCell ref="G281:H281"/>
    <mergeCell ref="C282:D282"/>
    <mergeCell ref="G282:H282"/>
    <mergeCell ref="C283:D283"/>
    <mergeCell ref="G283:H283"/>
    <mergeCell ref="C274:D274"/>
    <mergeCell ref="G274:H274"/>
    <mergeCell ref="C275:D275"/>
    <mergeCell ref="G275:H275"/>
    <mergeCell ref="C276:D276"/>
    <mergeCell ref="G276:H276"/>
    <mergeCell ref="C277:D277"/>
    <mergeCell ref="G277:H277"/>
    <mergeCell ref="C278:D278"/>
    <mergeCell ref="G278:H278"/>
    <mergeCell ref="C267:D267"/>
    <mergeCell ref="G267:H267"/>
    <mergeCell ref="G268:H268"/>
    <mergeCell ref="G269:H269"/>
    <mergeCell ref="G270:H270"/>
    <mergeCell ref="G271:H271"/>
    <mergeCell ref="C272:D272"/>
    <mergeCell ref="G272:H272"/>
    <mergeCell ref="C273:D273"/>
    <mergeCell ref="G273:H273"/>
    <mergeCell ref="C262:D262"/>
    <mergeCell ref="G262:H262"/>
    <mergeCell ref="C263:D263"/>
    <mergeCell ref="G263:H263"/>
    <mergeCell ref="C264:D264"/>
    <mergeCell ref="G264:H264"/>
    <mergeCell ref="C265:D265"/>
    <mergeCell ref="G265:H265"/>
    <mergeCell ref="C266:D266"/>
    <mergeCell ref="G266:H266"/>
    <mergeCell ref="C257:D257"/>
    <mergeCell ref="G257:H257"/>
    <mergeCell ref="C258:D258"/>
    <mergeCell ref="G258:H258"/>
    <mergeCell ref="C259:D259"/>
    <mergeCell ref="G259:H259"/>
    <mergeCell ref="C260:D260"/>
    <mergeCell ref="G260:H260"/>
    <mergeCell ref="C261:D261"/>
    <mergeCell ref="G261:H261"/>
    <mergeCell ref="C252:D252"/>
    <mergeCell ref="G252:H252"/>
    <mergeCell ref="C253:D253"/>
    <mergeCell ref="G253:H253"/>
    <mergeCell ref="C254:D254"/>
    <mergeCell ref="G254:H254"/>
    <mergeCell ref="C255:D255"/>
    <mergeCell ref="G255:H255"/>
    <mergeCell ref="C256:D256"/>
    <mergeCell ref="G256:H256"/>
    <mergeCell ref="A249:D249"/>
    <mergeCell ref="F249:H249"/>
    <mergeCell ref="A250:B250"/>
    <mergeCell ref="C250:D250"/>
    <mergeCell ref="E250:E251"/>
    <mergeCell ref="G250:H250"/>
    <mergeCell ref="A251:B251"/>
    <mergeCell ref="C251:D251"/>
    <mergeCell ref="G251:H251"/>
    <mergeCell ref="F194:H194"/>
    <mergeCell ref="C174:D174"/>
    <mergeCell ref="C186:D186"/>
    <mergeCell ref="G186:H186"/>
    <mergeCell ref="C188:D188"/>
    <mergeCell ref="G188:H188"/>
    <mergeCell ref="C189:D189"/>
    <mergeCell ref="G189:H189"/>
    <mergeCell ref="C190:D190"/>
    <mergeCell ref="G190:H190"/>
    <mergeCell ref="C191:D191"/>
    <mergeCell ref="G191:H191"/>
    <mergeCell ref="C181:D181"/>
    <mergeCell ref="G181:H181"/>
    <mergeCell ref="C182:D182"/>
    <mergeCell ref="G182:H182"/>
    <mergeCell ref="C183:D183"/>
    <mergeCell ref="G183:H183"/>
    <mergeCell ref="C184:D184"/>
    <mergeCell ref="G184:H184"/>
    <mergeCell ref="C185:D185"/>
    <mergeCell ref="G185:H185"/>
    <mergeCell ref="C176:D176"/>
    <mergeCell ref="G176:H176"/>
    <mergeCell ref="C168:D168"/>
    <mergeCell ref="G168:H168"/>
    <mergeCell ref="G169:H169"/>
    <mergeCell ref="G170:H170"/>
    <mergeCell ref="G171:H171"/>
    <mergeCell ref="G172:H172"/>
    <mergeCell ref="G173:H173"/>
    <mergeCell ref="G174:H174"/>
    <mergeCell ref="C175:D175"/>
    <mergeCell ref="G175:H175"/>
    <mergeCell ref="C173:D173"/>
    <mergeCell ref="C177:D177"/>
    <mergeCell ref="G177:H177"/>
    <mergeCell ref="C178:D178"/>
    <mergeCell ref="G178:H178"/>
    <mergeCell ref="C179:D179"/>
    <mergeCell ref="G179:H179"/>
    <mergeCell ref="C180:D180"/>
    <mergeCell ref="G180:H180"/>
    <mergeCell ref="C158:D158"/>
    <mergeCell ref="G158:H158"/>
    <mergeCell ref="C159:D159"/>
    <mergeCell ref="G159:H159"/>
    <mergeCell ref="C160:D160"/>
    <mergeCell ref="G160:H160"/>
    <mergeCell ref="C161:D161"/>
    <mergeCell ref="G161:H161"/>
    <mergeCell ref="C162:D162"/>
    <mergeCell ref="G162:H162"/>
    <mergeCell ref="C163:D163"/>
    <mergeCell ref="G163:H163"/>
    <mergeCell ref="C164:D164"/>
    <mergeCell ref="G164:H164"/>
    <mergeCell ref="C165:D165"/>
    <mergeCell ref="G165:H165"/>
    <mergeCell ref="C166:D166"/>
    <mergeCell ref="G166:H166"/>
    <mergeCell ref="C167:D167"/>
    <mergeCell ref="G167:H167"/>
    <mergeCell ref="A150:D150"/>
    <mergeCell ref="F150:H150"/>
    <mergeCell ref="A151:B151"/>
    <mergeCell ref="C151:D151"/>
    <mergeCell ref="E151:E152"/>
    <mergeCell ref="G151:H151"/>
    <mergeCell ref="A152:B152"/>
    <mergeCell ref="C152:D152"/>
    <mergeCell ref="G152:H152"/>
    <mergeCell ref="C153:D153"/>
    <mergeCell ref="G153:H153"/>
    <mergeCell ref="C154:D154"/>
    <mergeCell ref="G154:H154"/>
    <mergeCell ref="C155:D155"/>
    <mergeCell ref="G155:H155"/>
    <mergeCell ref="C156:D156"/>
    <mergeCell ref="G156:H156"/>
    <mergeCell ref="C157:D157"/>
    <mergeCell ref="G157:H157"/>
    <mergeCell ref="C129:D129"/>
    <mergeCell ref="G129:H129"/>
    <mergeCell ref="C130:D130"/>
    <mergeCell ref="G130:H130"/>
    <mergeCell ref="C131:D131"/>
    <mergeCell ref="G131:H131"/>
    <mergeCell ref="C132:D132"/>
    <mergeCell ref="G132:H132"/>
    <mergeCell ref="C133:D133"/>
    <mergeCell ref="G133:H133"/>
    <mergeCell ref="C140:D140"/>
    <mergeCell ref="G140:H140"/>
    <mergeCell ref="C141:D141"/>
    <mergeCell ref="G141:H141"/>
    <mergeCell ref="F144:H144"/>
    <mergeCell ref="C134:D134"/>
    <mergeCell ref="G134:H134"/>
    <mergeCell ref="C135:D135"/>
    <mergeCell ref="G135:H135"/>
    <mergeCell ref="C136:D136"/>
    <mergeCell ref="G136:H136"/>
    <mergeCell ref="C138:D138"/>
    <mergeCell ref="G138:H138"/>
    <mergeCell ref="C139:D139"/>
    <mergeCell ref="G139:H139"/>
    <mergeCell ref="C118:D118"/>
    <mergeCell ref="G118:H118"/>
    <mergeCell ref="G119:H119"/>
    <mergeCell ref="G120:H120"/>
    <mergeCell ref="G121:H121"/>
    <mergeCell ref="G122:H122"/>
    <mergeCell ref="G123:H123"/>
    <mergeCell ref="C113:D113"/>
    <mergeCell ref="G113:H113"/>
    <mergeCell ref="C114:D114"/>
    <mergeCell ref="G114:H114"/>
    <mergeCell ref="C115:D115"/>
    <mergeCell ref="G115:H115"/>
    <mergeCell ref="C116:D116"/>
    <mergeCell ref="G116:H116"/>
    <mergeCell ref="C117:D117"/>
    <mergeCell ref="G117:H117"/>
    <mergeCell ref="G124:H124"/>
    <mergeCell ref="C125:D125"/>
    <mergeCell ref="G125:H125"/>
    <mergeCell ref="C126:D126"/>
    <mergeCell ref="G126:H126"/>
    <mergeCell ref="C127:D127"/>
    <mergeCell ref="G127:H127"/>
    <mergeCell ref="C128:D128"/>
    <mergeCell ref="G128:H128"/>
    <mergeCell ref="C111:D111"/>
    <mergeCell ref="G111:H111"/>
    <mergeCell ref="C112:D112"/>
    <mergeCell ref="G112:H112"/>
    <mergeCell ref="C103:D103"/>
    <mergeCell ref="G103:H103"/>
    <mergeCell ref="C104:D104"/>
    <mergeCell ref="G104:H104"/>
    <mergeCell ref="C105:D105"/>
    <mergeCell ref="G105:H105"/>
    <mergeCell ref="C106:D106"/>
    <mergeCell ref="G106:H106"/>
    <mergeCell ref="C107:D107"/>
    <mergeCell ref="G107:H107"/>
    <mergeCell ref="C63:D63"/>
    <mergeCell ref="C61:D61"/>
    <mergeCell ref="F47:H47"/>
    <mergeCell ref="F48:H48"/>
    <mergeCell ref="C108:D108"/>
    <mergeCell ref="G108:H108"/>
    <mergeCell ref="C109:D109"/>
    <mergeCell ref="G109:H109"/>
    <mergeCell ref="C110:D110"/>
    <mergeCell ref="G110:H110"/>
    <mergeCell ref="G77:H77"/>
    <mergeCell ref="C91:D91"/>
    <mergeCell ref="G91:H91"/>
    <mergeCell ref="C92:D92"/>
    <mergeCell ref="G92:H92"/>
    <mergeCell ref="C93:D93"/>
    <mergeCell ref="G93:H93"/>
    <mergeCell ref="C87:D87"/>
    <mergeCell ref="G87:H87"/>
    <mergeCell ref="C88:D88"/>
    <mergeCell ref="G88:H88"/>
    <mergeCell ref="C90:D90"/>
    <mergeCell ref="G90:H90"/>
    <mergeCell ref="C84:D84"/>
    <mergeCell ref="G84:H84"/>
    <mergeCell ref="C85:D85"/>
    <mergeCell ref="G85:H85"/>
    <mergeCell ref="C86:D86"/>
    <mergeCell ref="A100:D100"/>
    <mergeCell ref="F100:H100"/>
    <mergeCell ref="A101:B101"/>
    <mergeCell ref="C101:D101"/>
    <mergeCell ref="E101:E102"/>
    <mergeCell ref="G101:H101"/>
    <mergeCell ref="A102:B102"/>
    <mergeCell ref="C102:D102"/>
    <mergeCell ref="G102:H102"/>
    <mergeCell ref="C78:D78"/>
    <mergeCell ref="G64:H64"/>
    <mergeCell ref="C65:D65"/>
    <mergeCell ref="G65:H65"/>
    <mergeCell ref="G86:H86"/>
    <mergeCell ref="C81:D81"/>
    <mergeCell ref="G81:H81"/>
    <mergeCell ref="C82:D82"/>
    <mergeCell ref="G82:H82"/>
    <mergeCell ref="C83:D83"/>
    <mergeCell ref="G83:H83"/>
    <mergeCell ref="G78:H78"/>
    <mergeCell ref="C79:D79"/>
    <mergeCell ref="G79:H79"/>
    <mergeCell ref="C80:D80"/>
    <mergeCell ref="G80:H80"/>
    <mergeCell ref="G72:H72"/>
    <mergeCell ref="G73:H73"/>
    <mergeCell ref="G74:H74"/>
    <mergeCell ref="G75:H75"/>
    <mergeCell ref="G76:H76"/>
    <mergeCell ref="C69:D69"/>
    <mergeCell ref="G69:H69"/>
    <mergeCell ref="C77:D77"/>
    <mergeCell ref="C11:D11"/>
    <mergeCell ref="G11:H11"/>
    <mergeCell ref="C12:D12"/>
    <mergeCell ref="G12:H12"/>
    <mergeCell ref="C13:D13"/>
    <mergeCell ref="G13:H13"/>
    <mergeCell ref="G42:H42"/>
    <mergeCell ref="C14:D14"/>
    <mergeCell ref="G30:H30"/>
    <mergeCell ref="G14:H14"/>
    <mergeCell ref="C15:D15"/>
    <mergeCell ref="G15:H15"/>
    <mergeCell ref="G33:H33"/>
    <mergeCell ref="C37:D37"/>
    <mergeCell ref="G37:H37"/>
    <mergeCell ref="C35:D35"/>
    <mergeCell ref="G35:H35"/>
    <mergeCell ref="C33:D33"/>
    <mergeCell ref="G19:H19"/>
    <mergeCell ref="C20:D20"/>
    <mergeCell ref="C28:D28"/>
    <mergeCell ref="G20:H20"/>
    <mergeCell ref="C21:D21"/>
    <mergeCell ref="G28:H28"/>
    <mergeCell ref="A2:D2"/>
    <mergeCell ref="F2:H2"/>
    <mergeCell ref="A3:B3"/>
    <mergeCell ref="C3:D3"/>
    <mergeCell ref="E3:E4"/>
    <mergeCell ref="G3:H3"/>
    <mergeCell ref="A4:B4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G10:H10"/>
    <mergeCell ref="C43:D43"/>
    <mergeCell ref="G31:H31"/>
    <mergeCell ref="C32:D32"/>
    <mergeCell ref="G32:H32"/>
    <mergeCell ref="G43:H43"/>
    <mergeCell ref="C44:D44"/>
    <mergeCell ref="G44:H44"/>
    <mergeCell ref="C34:D34"/>
    <mergeCell ref="G34:H34"/>
    <mergeCell ref="C36:D36"/>
    <mergeCell ref="G36:H36"/>
    <mergeCell ref="C31:D31"/>
    <mergeCell ref="C40:D40"/>
    <mergeCell ref="G40:H40"/>
    <mergeCell ref="C41:D41"/>
    <mergeCell ref="G41:H41"/>
    <mergeCell ref="G23:H23"/>
    <mergeCell ref="C17:D17"/>
    <mergeCell ref="G17:H17"/>
    <mergeCell ref="C18:D18"/>
    <mergeCell ref="G18:H18"/>
    <mergeCell ref="C19:D19"/>
    <mergeCell ref="C10:D10"/>
    <mergeCell ref="G21:H21"/>
    <mergeCell ref="G22:H22"/>
    <mergeCell ref="C16:D16"/>
    <mergeCell ref="G16:H16"/>
    <mergeCell ref="G24:H24"/>
    <mergeCell ref="G25:H25"/>
    <mergeCell ref="G26:H26"/>
    <mergeCell ref="G27:H27"/>
    <mergeCell ref="G29:H29"/>
    <mergeCell ref="C30:D30"/>
    <mergeCell ref="C203:D203"/>
    <mergeCell ref="G203:H203"/>
    <mergeCell ref="C52:D52"/>
    <mergeCell ref="E52:E53"/>
    <mergeCell ref="G52:H52"/>
    <mergeCell ref="C70:D70"/>
    <mergeCell ref="G70:H70"/>
    <mergeCell ref="G71:H71"/>
    <mergeCell ref="C66:D66"/>
    <mergeCell ref="G66:H66"/>
    <mergeCell ref="C67:D67"/>
    <mergeCell ref="G67:H67"/>
    <mergeCell ref="C68:D68"/>
    <mergeCell ref="G68:H68"/>
    <mergeCell ref="G63:H63"/>
    <mergeCell ref="C64:D64"/>
    <mergeCell ref="C38:D38"/>
    <mergeCell ref="G38:H38"/>
    <mergeCell ref="C39:D39"/>
    <mergeCell ref="G39:H39"/>
    <mergeCell ref="C62:D62"/>
    <mergeCell ref="A51:D51"/>
    <mergeCell ref="F51:H51"/>
    <mergeCell ref="A53:B53"/>
    <mergeCell ref="C53:D53"/>
    <mergeCell ref="G53:H53"/>
    <mergeCell ref="C42:D42"/>
    <mergeCell ref="C60:D60"/>
    <mergeCell ref="G60:H60"/>
    <mergeCell ref="C217:D217"/>
    <mergeCell ref="G62:H62"/>
    <mergeCell ref="C57:D57"/>
    <mergeCell ref="G57:H57"/>
    <mergeCell ref="C58:D58"/>
    <mergeCell ref="G58:H58"/>
    <mergeCell ref="C59:D59"/>
    <mergeCell ref="G59:H59"/>
    <mergeCell ref="C54:D54"/>
    <mergeCell ref="G54:H54"/>
    <mergeCell ref="C55:D55"/>
    <mergeCell ref="G55:H55"/>
    <mergeCell ref="C56:D56"/>
    <mergeCell ref="G56:H56"/>
    <mergeCell ref="A52:B52"/>
    <mergeCell ref="G61:H61"/>
    <mergeCell ref="F49:H49"/>
    <mergeCell ref="F96:H96"/>
    <mergeCell ref="G225:H225"/>
    <mergeCell ref="C226:D226"/>
    <mergeCell ref="G226:H226"/>
    <mergeCell ref="C227:D227"/>
    <mergeCell ref="G227:H227"/>
    <mergeCell ref="C204:D204"/>
    <mergeCell ref="G204:H204"/>
    <mergeCell ref="C205:D205"/>
    <mergeCell ref="G205:H205"/>
    <mergeCell ref="G219:H219"/>
    <mergeCell ref="G220:H220"/>
    <mergeCell ref="G221:H221"/>
    <mergeCell ref="C222:D222"/>
    <mergeCell ref="G222:H222"/>
    <mergeCell ref="C223:D223"/>
    <mergeCell ref="G223:H223"/>
    <mergeCell ref="C224:D224"/>
    <mergeCell ref="G224:H224"/>
    <mergeCell ref="C231:D231"/>
    <mergeCell ref="C208:D208"/>
    <mergeCell ref="G208:H208"/>
    <mergeCell ref="C209:D209"/>
    <mergeCell ref="G209:H209"/>
    <mergeCell ref="C210:D210"/>
    <mergeCell ref="G210:H210"/>
    <mergeCell ref="C211:D211"/>
    <mergeCell ref="G211:H211"/>
    <mergeCell ref="C212:D212"/>
    <mergeCell ref="G212:H212"/>
    <mergeCell ref="C213:D213"/>
    <mergeCell ref="G213:H213"/>
    <mergeCell ref="C214:D214"/>
    <mergeCell ref="G214:H214"/>
    <mergeCell ref="C215:D215"/>
    <mergeCell ref="G215:H215"/>
    <mergeCell ref="C216:D216"/>
    <mergeCell ref="G216:H216"/>
    <mergeCell ref="G228:H228"/>
    <mergeCell ref="C228:D228"/>
    <mergeCell ref="G217:H217"/>
    <mergeCell ref="G218:H218"/>
    <mergeCell ref="C225:D225"/>
    <mergeCell ref="C229:D229"/>
    <mergeCell ref="G229:H229"/>
    <mergeCell ref="C230:D230"/>
    <mergeCell ref="G230:H230"/>
    <mergeCell ref="C232:D232"/>
    <mergeCell ref="G232:H232"/>
    <mergeCell ref="C234:D234"/>
    <mergeCell ref="G234:H234"/>
    <mergeCell ref="A199:D199"/>
    <mergeCell ref="F199:H199"/>
    <mergeCell ref="E200:E201"/>
    <mergeCell ref="A201:B201"/>
    <mergeCell ref="C206:D206"/>
    <mergeCell ref="G206:H206"/>
    <mergeCell ref="C207:D207"/>
    <mergeCell ref="G207:H207"/>
    <mergeCell ref="A200:B200"/>
    <mergeCell ref="C200:D200"/>
    <mergeCell ref="G200:H200"/>
    <mergeCell ref="C201:D201"/>
    <mergeCell ref="G201:H201"/>
    <mergeCell ref="C202:D202"/>
    <mergeCell ref="G202:H202"/>
    <mergeCell ref="G231:H231"/>
    <mergeCell ref="F244:H244"/>
    <mergeCell ref="G233:H233"/>
    <mergeCell ref="C233:D233"/>
    <mergeCell ref="C236:D236"/>
    <mergeCell ref="G236:H236"/>
    <mergeCell ref="C239:D239"/>
    <mergeCell ref="G239:H239"/>
    <mergeCell ref="C240:D240"/>
    <mergeCell ref="G240:H240"/>
    <mergeCell ref="C241:D241"/>
    <mergeCell ref="G241:H241"/>
    <mergeCell ref="C235:D235"/>
    <mergeCell ref="G235:H235"/>
    <mergeCell ref="C238:D238"/>
    <mergeCell ref="G238:H238"/>
  </mergeCells>
  <phoneticPr fontId="0" type="noConversion"/>
  <pageMargins left="0.59055118110236227" right="0.19685039370078741" top="7.874015748031496E-2" bottom="7.874015748031496E-2" header="0.51181102362204722" footer="0.51181102362204722"/>
  <pageSetup paperSize="9" scale="80" orientation="portrait" r:id="rId1"/>
  <headerFooter alignWithMargins="0"/>
  <rowBreaks count="4" manualBreakCount="4">
    <brk id="49" max="16383" man="1"/>
    <brk id="98" max="16383" man="1"/>
    <brk id="147" max="16383" man="1"/>
    <brk id="196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view="pageBreakPreview" topLeftCell="A218" zoomScaleSheetLayoutView="100" workbookViewId="0">
      <selection activeCell="A181" sqref="A181:G216"/>
    </sheetView>
  </sheetViews>
  <sheetFormatPr defaultRowHeight="23.25" x14ac:dyDescent="0.5"/>
  <cols>
    <col min="1" max="1" width="47.796875" style="1" customWidth="1"/>
    <col min="2" max="2" width="14.19921875" style="1" customWidth="1"/>
    <col min="3" max="6" width="19" style="1" customWidth="1"/>
    <col min="7" max="7" width="23.796875" style="1" customWidth="1"/>
    <col min="8" max="8" width="20" style="1" customWidth="1"/>
    <col min="9" max="9" width="2.59765625" style="1" bestFit="1" customWidth="1"/>
    <col min="10" max="16384" width="9.59765625" style="1"/>
  </cols>
  <sheetData>
    <row r="1" spans="1:7" x14ac:dyDescent="0.5">
      <c r="A1" s="84"/>
      <c r="B1" s="84"/>
      <c r="C1" s="84"/>
      <c r="D1" s="84"/>
      <c r="E1" s="84"/>
      <c r="F1" s="84"/>
      <c r="G1" s="84"/>
    </row>
    <row r="2" spans="1:7" x14ac:dyDescent="0.5">
      <c r="A2" s="84"/>
      <c r="B2" s="84"/>
      <c r="C2" s="84"/>
      <c r="D2" s="84"/>
      <c r="E2" s="84"/>
      <c r="F2" s="84"/>
      <c r="G2" s="84"/>
    </row>
    <row r="3" spans="1:7" x14ac:dyDescent="0.5">
      <c r="A3" s="170" t="s">
        <v>117</v>
      </c>
      <c r="B3" s="170"/>
      <c r="C3" s="170"/>
      <c r="D3" s="170"/>
      <c r="E3" s="170"/>
      <c r="F3" s="170"/>
      <c r="G3" s="170"/>
    </row>
    <row r="4" spans="1:7" x14ac:dyDescent="0.5">
      <c r="A4" s="170" t="s">
        <v>47</v>
      </c>
      <c r="B4" s="170"/>
      <c r="C4" s="170"/>
      <c r="D4" s="170"/>
      <c r="E4" s="170"/>
      <c r="F4" s="170"/>
      <c r="G4" s="170"/>
    </row>
    <row r="5" spans="1:7" x14ac:dyDescent="0.5">
      <c r="A5" s="170" t="s">
        <v>195</v>
      </c>
      <c r="B5" s="170"/>
      <c r="C5" s="170"/>
      <c r="D5" s="170"/>
      <c r="E5" s="170"/>
      <c r="F5" s="170"/>
      <c r="G5" s="170"/>
    </row>
    <row r="6" spans="1:7" x14ac:dyDescent="0.5">
      <c r="A6" s="21" t="s">
        <v>37</v>
      </c>
      <c r="B6" s="21" t="s">
        <v>1</v>
      </c>
      <c r="C6" s="21" t="s">
        <v>25</v>
      </c>
      <c r="D6" s="21" t="s">
        <v>48</v>
      </c>
      <c r="E6" s="85" t="s">
        <v>49</v>
      </c>
      <c r="F6" s="21" t="s">
        <v>58</v>
      </c>
      <c r="G6" s="21" t="s">
        <v>50</v>
      </c>
    </row>
    <row r="7" spans="1:7" x14ac:dyDescent="0.5">
      <c r="A7" s="6" t="s">
        <v>51</v>
      </c>
      <c r="B7" s="5">
        <v>230102</v>
      </c>
      <c r="C7" s="2">
        <v>0</v>
      </c>
      <c r="D7" s="2">
        <v>5135.8</v>
      </c>
      <c r="E7" s="82"/>
      <c r="F7" s="3">
        <f>C7+D7-E7</f>
        <v>5135.8</v>
      </c>
      <c r="G7" s="7"/>
    </row>
    <row r="8" spans="1:7" x14ac:dyDescent="0.5">
      <c r="A8" s="6" t="s">
        <v>52</v>
      </c>
      <c r="B8" s="5">
        <v>230108</v>
      </c>
      <c r="C8" s="2">
        <v>2290163.25</v>
      </c>
      <c r="D8" s="2"/>
      <c r="E8" s="82">
        <v>115683</v>
      </c>
      <c r="F8" s="3">
        <f t="shared" ref="F8" si="0">C8+D8-E8</f>
        <v>2174480.25</v>
      </c>
      <c r="G8" s="7"/>
    </row>
    <row r="9" spans="1:7" x14ac:dyDescent="0.5">
      <c r="A9" s="6" t="s">
        <v>53</v>
      </c>
      <c r="B9" s="5">
        <v>230105</v>
      </c>
      <c r="C9" s="2">
        <v>22435.98</v>
      </c>
      <c r="D9" s="2">
        <v>14.7</v>
      </c>
      <c r="E9" s="82"/>
      <c r="F9" s="3">
        <f>C9+D9-E9</f>
        <v>22450.68</v>
      </c>
      <c r="G9" s="7"/>
    </row>
    <row r="10" spans="1:7" x14ac:dyDescent="0.5">
      <c r="A10" s="6" t="s">
        <v>57</v>
      </c>
      <c r="B10" s="5">
        <v>230106</v>
      </c>
      <c r="C10" s="2">
        <v>14410.87</v>
      </c>
      <c r="D10" s="2"/>
      <c r="E10" s="82"/>
      <c r="F10" s="3">
        <f t="shared" ref="F10:F15" si="1">C10+D10-E10</f>
        <v>14410.87</v>
      </c>
      <c r="G10" s="7"/>
    </row>
    <row r="11" spans="1:7" x14ac:dyDescent="0.5">
      <c r="A11" s="6" t="s">
        <v>99</v>
      </c>
      <c r="B11" s="5"/>
      <c r="C11" s="2">
        <v>2184388.52</v>
      </c>
      <c r="D11" s="8"/>
      <c r="E11" s="9"/>
      <c r="F11" s="3">
        <f t="shared" si="1"/>
        <v>2184388.52</v>
      </c>
      <c r="G11" s="81"/>
    </row>
    <row r="12" spans="1:7" x14ac:dyDescent="0.5">
      <c r="A12" s="6" t="s">
        <v>163</v>
      </c>
      <c r="B12" s="83"/>
      <c r="C12" s="2">
        <v>3000</v>
      </c>
      <c r="D12" s="11">
        <v>7000</v>
      </c>
      <c r="E12" s="11"/>
      <c r="F12" s="3">
        <f t="shared" si="1"/>
        <v>10000</v>
      </c>
      <c r="G12" s="12"/>
    </row>
    <row r="13" spans="1:7" x14ac:dyDescent="0.5">
      <c r="A13" s="6" t="s">
        <v>103</v>
      </c>
      <c r="B13" s="10"/>
      <c r="C13" s="2"/>
      <c r="D13" s="11">
        <v>40412.75</v>
      </c>
      <c r="E13" s="11">
        <v>40412.75</v>
      </c>
      <c r="F13" s="3">
        <f t="shared" si="1"/>
        <v>0</v>
      </c>
      <c r="G13" s="12"/>
    </row>
    <row r="14" spans="1:7" x14ac:dyDescent="0.5">
      <c r="A14" s="6" t="s">
        <v>104</v>
      </c>
      <c r="B14" s="5"/>
      <c r="C14" s="2"/>
      <c r="D14" s="8">
        <v>53638</v>
      </c>
      <c r="E14" s="8">
        <v>53638</v>
      </c>
      <c r="F14" s="3">
        <f t="shared" si="1"/>
        <v>0</v>
      </c>
      <c r="G14" s="7"/>
    </row>
    <row r="15" spans="1:7" x14ac:dyDescent="0.5">
      <c r="A15" s="6" t="s">
        <v>90</v>
      </c>
      <c r="B15" s="5"/>
      <c r="C15" s="2"/>
      <c r="D15" s="8">
        <v>73600</v>
      </c>
      <c r="E15" s="8">
        <v>73600</v>
      </c>
      <c r="F15" s="3">
        <f t="shared" si="1"/>
        <v>0</v>
      </c>
      <c r="G15" s="7"/>
    </row>
    <row r="16" spans="1:7" x14ac:dyDescent="0.5">
      <c r="A16" s="6" t="s">
        <v>161</v>
      </c>
      <c r="B16" s="5"/>
      <c r="C16" s="2"/>
      <c r="D16" s="8">
        <v>26780</v>
      </c>
      <c r="E16" s="8">
        <v>26780</v>
      </c>
      <c r="F16" s="3">
        <f>C16+D16-E16</f>
        <v>0</v>
      </c>
      <c r="G16" s="7"/>
    </row>
    <row r="17" spans="1:7" x14ac:dyDescent="0.5">
      <c r="A17" s="6" t="s">
        <v>162</v>
      </c>
      <c r="B17" s="5"/>
      <c r="C17" s="2"/>
      <c r="D17" s="8">
        <v>216105</v>
      </c>
      <c r="E17" s="8">
        <v>216105</v>
      </c>
      <c r="F17" s="3">
        <f>C17+D17-E17</f>
        <v>0</v>
      </c>
      <c r="G17" s="7"/>
    </row>
    <row r="18" spans="1:7" x14ac:dyDescent="0.5">
      <c r="A18" s="6" t="s">
        <v>105</v>
      </c>
      <c r="B18" s="20"/>
      <c r="C18" s="2"/>
      <c r="D18" s="20">
        <v>9100</v>
      </c>
      <c r="E18" s="20">
        <v>9100</v>
      </c>
      <c r="F18" s="3">
        <f>C18+D18-E18</f>
        <v>0</v>
      </c>
      <c r="G18" s="4"/>
    </row>
    <row r="19" spans="1:7" x14ac:dyDescent="0.5">
      <c r="A19" s="6" t="s">
        <v>124</v>
      </c>
      <c r="B19" s="10"/>
      <c r="C19" s="2"/>
      <c r="D19" s="11">
        <v>46700</v>
      </c>
      <c r="E19" s="11">
        <v>46700</v>
      </c>
      <c r="F19" s="3">
        <f>C19+D19-E19</f>
        <v>0</v>
      </c>
      <c r="G19" s="12"/>
    </row>
    <row r="20" spans="1:7" x14ac:dyDescent="0.5">
      <c r="A20" s="6" t="s">
        <v>106</v>
      </c>
      <c r="B20" s="10"/>
      <c r="C20" s="2"/>
      <c r="D20" s="11">
        <v>135</v>
      </c>
      <c r="E20" s="11">
        <v>135</v>
      </c>
      <c r="F20" s="3">
        <f>C20+D20-E20</f>
        <v>0</v>
      </c>
      <c r="G20" s="12"/>
    </row>
    <row r="21" spans="1:7" ht="24" thickBot="1" x14ac:dyDescent="0.55000000000000004">
      <c r="A21" s="42" t="s">
        <v>44</v>
      </c>
      <c r="B21" s="44"/>
      <c r="C21" s="45">
        <f>SUM(C7:C20)</f>
        <v>4514398.62</v>
      </c>
      <c r="D21" s="24">
        <f>SUM(D7:D20)</f>
        <v>478621.25</v>
      </c>
      <c r="E21" s="46">
        <f>SUM(E7:E20)</f>
        <v>582153.75</v>
      </c>
      <c r="F21" s="47">
        <f>SUM(F7:F20)</f>
        <v>4410866.12</v>
      </c>
      <c r="G21" s="48"/>
    </row>
    <row r="22" spans="1:7" ht="24" thickTop="1" x14ac:dyDescent="0.5">
      <c r="A22" s="15"/>
      <c r="B22" s="16"/>
      <c r="C22" s="16"/>
      <c r="D22" s="16"/>
      <c r="E22" s="16"/>
      <c r="F22" s="16"/>
      <c r="G22" s="17"/>
    </row>
    <row r="23" spans="1:7" x14ac:dyDescent="0.5">
      <c r="A23" s="14"/>
      <c r="B23" s="200" t="s">
        <v>191</v>
      </c>
      <c r="C23" s="200"/>
      <c r="D23" s="200"/>
      <c r="E23" s="200"/>
      <c r="F23" s="14"/>
      <c r="G23" s="14"/>
    </row>
    <row r="24" spans="1:7" x14ac:dyDescent="0.5">
      <c r="A24" s="199" t="s">
        <v>150</v>
      </c>
      <c r="B24" s="199"/>
      <c r="C24" s="199"/>
      <c r="D24" s="199"/>
      <c r="E24" s="199"/>
      <c r="F24" s="199"/>
      <c r="G24" s="199"/>
    </row>
    <row r="25" spans="1:7" x14ac:dyDescent="0.5">
      <c r="A25" s="199" t="s">
        <v>151</v>
      </c>
      <c r="B25" s="199"/>
      <c r="C25" s="199"/>
      <c r="D25" s="199"/>
      <c r="E25" s="199"/>
      <c r="F25" s="199"/>
      <c r="G25" s="199"/>
    </row>
    <row r="26" spans="1:7" x14ac:dyDescent="0.5">
      <c r="A26" s="14"/>
      <c r="B26" s="14"/>
      <c r="C26" s="14"/>
      <c r="D26" s="14"/>
      <c r="E26" s="14"/>
      <c r="F26" s="14"/>
      <c r="G26" s="14"/>
    </row>
    <row r="27" spans="1:7" x14ac:dyDescent="0.5">
      <c r="A27" s="14"/>
      <c r="B27" s="199" t="s">
        <v>192</v>
      </c>
      <c r="C27" s="199"/>
      <c r="D27" s="199"/>
      <c r="E27" s="199"/>
      <c r="F27" s="14"/>
      <c r="G27" s="14"/>
    </row>
    <row r="28" spans="1:7" x14ac:dyDescent="0.5">
      <c r="A28" s="199" t="s">
        <v>152</v>
      </c>
      <c r="B28" s="199"/>
      <c r="C28" s="199"/>
      <c r="D28" s="199"/>
      <c r="E28" s="199"/>
      <c r="F28" s="199"/>
      <c r="G28" s="199"/>
    </row>
    <row r="29" spans="1:7" x14ac:dyDescent="0.5">
      <c r="A29" s="199" t="s">
        <v>153</v>
      </c>
      <c r="B29" s="199"/>
      <c r="C29" s="199"/>
      <c r="D29" s="199"/>
      <c r="E29" s="199"/>
      <c r="F29" s="199"/>
      <c r="G29" s="199"/>
    </row>
    <row r="30" spans="1:7" x14ac:dyDescent="0.5">
      <c r="A30" s="14"/>
      <c r="B30" s="14"/>
      <c r="C30" s="14"/>
      <c r="D30" s="14"/>
      <c r="E30" s="14"/>
      <c r="F30" s="14"/>
      <c r="G30" s="14"/>
    </row>
    <row r="31" spans="1:7" x14ac:dyDescent="0.5">
      <c r="A31" s="14"/>
      <c r="B31" s="199" t="s">
        <v>193</v>
      </c>
      <c r="C31" s="199"/>
      <c r="D31" s="199"/>
      <c r="E31" s="199"/>
      <c r="F31" s="14"/>
      <c r="G31" s="14"/>
    </row>
    <row r="32" spans="1:7" x14ac:dyDescent="0.5">
      <c r="A32" s="199" t="s">
        <v>152</v>
      </c>
      <c r="B32" s="199"/>
      <c r="C32" s="199"/>
      <c r="D32" s="199"/>
      <c r="E32" s="199"/>
      <c r="F32" s="199"/>
      <c r="G32" s="199"/>
    </row>
    <row r="33" spans="1:7" x14ac:dyDescent="0.5">
      <c r="A33" s="199" t="s">
        <v>153</v>
      </c>
      <c r="B33" s="199"/>
      <c r="C33" s="199"/>
      <c r="D33" s="199"/>
      <c r="E33" s="199"/>
      <c r="F33" s="199"/>
      <c r="G33" s="199"/>
    </row>
    <row r="34" spans="1:7" x14ac:dyDescent="0.5">
      <c r="C34" s="14" t="s">
        <v>190</v>
      </c>
    </row>
    <row r="35" spans="1:7" x14ac:dyDescent="0.5">
      <c r="A35" s="92"/>
      <c r="B35" s="92"/>
      <c r="C35" s="92"/>
      <c r="D35" s="92"/>
      <c r="E35" s="92"/>
      <c r="F35" s="92"/>
      <c r="G35" s="92"/>
    </row>
    <row r="36" spans="1:7" x14ac:dyDescent="0.5">
      <c r="A36" s="92"/>
      <c r="B36" s="92"/>
      <c r="C36" s="92"/>
      <c r="D36" s="92"/>
      <c r="E36" s="92"/>
      <c r="F36" s="92"/>
      <c r="G36" s="92"/>
    </row>
    <row r="37" spans="1:7" x14ac:dyDescent="0.5">
      <c r="A37" s="170" t="s">
        <v>117</v>
      </c>
      <c r="B37" s="170"/>
      <c r="C37" s="170"/>
      <c r="D37" s="170"/>
      <c r="E37" s="170"/>
      <c r="F37" s="170"/>
      <c r="G37" s="170"/>
    </row>
    <row r="38" spans="1:7" x14ac:dyDescent="0.5">
      <c r="A38" s="170" t="s">
        <v>47</v>
      </c>
      <c r="B38" s="170"/>
      <c r="C38" s="170"/>
      <c r="D38" s="170"/>
      <c r="E38" s="170"/>
      <c r="F38" s="170"/>
      <c r="G38" s="170"/>
    </row>
    <row r="39" spans="1:7" x14ac:dyDescent="0.5">
      <c r="A39" s="170" t="s">
        <v>203</v>
      </c>
      <c r="B39" s="170"/>
      <c r="C39" s="170"/>
      <c r="D39" s="170"/>
      <c r="E39" s="170"/>
      <c r="F39" s="170"/>
      <c r="G39" s="170"/>
    </row>
    <row r="40" spans="1:7" x14ac:dyDescent="0.5">
      <c r="A40" s="21" t="s">
        <v>37</v>
      </c>
      <c r="B40" s="21" t="s">
        <v>1</v>
      </c>
      <c r="C40" s="21" t="s">
        <v>25</v>
      </c>
      <c r="D40" s="21" t="s">
        <v>48</v>
      </c>
      <c r="E40" s="93" t="s">
        <v>49</v>
      </c>
      <c r="F40" s="21" t="s">
        <v>58</v>
      </c>
      <c r="G40" s="21" t="s">
        <v>50</v>
      </c>
    </row>
    <row r="41" spans="1:7" x14ac:dyDescent="0.5">
      <c r="A41" s="6" t="s">
        <v>51</v>
      </c>
      <c r="B41" s="5">
        <v>230102</v>
      </c>
      <c r="C41" s="2">
        <f>F7</f>
        <v>5135.8</v>
      </c>
      <c r="D41" s="2">
        <v>11580.51</v>
      </c>
      <c r="E41" s="87">
        <v>5135.8</v>
      </c>
      <c r="F41" s="3">
        <f>C41+D41-E41</f>
        <v>11580.510000000002</v>
      </c>
      <c r="G41" s="7"/>
    </row>
    <row r="42" spans="1:7" x14ac:dyDescent="0.5">
      <c r="A42" s="6" t="s">
        <v>52</v>
      </c>
      <c r="B42" s="5">
        <v>230108</v>
      </c>
      <c r="C42" s="2">
        <f t="shared" ref="C42:C54" si="2">F8</f>
        <v>2174480.25</v>
      </c>
      <c r="D42" s="2"/>
      <c r="E42" s="87"/>
      <c r="F42" s="3">
        <f t="shared" ref="F42" si="3">C42+D42-E42</f>
        <v>2174480.25</v>
      </c>
      <c r="G42" s="7"/>
    </row>
    <row r="43" spans="1:7" x14ac:dyDescent="0.5">
      <c r="A43" s="6" t="s">
        <v>53</v>
      </c>
      <c r="B43" s="5">
        <v>230105</v>
      </c>
      <c r="C43" s="2">
        <f t="shared" si="2"/>
        <v>22450.68</v>
      </c>
      <c r="D43" s="2"/>
      <c r="E43" s="87"/>
      <c r="F43" s="3">
        <f>C43+D43-E43</f>
        <v>22450.68</v>
      </c>
      <c r="G43" s="7"/>
    </row>
    <row r="44" spans="1:7" x14ac:dyDescent="0.5">
      <c r="A44" s="6" t="s">
        <v>57</v>
      </c>
      <c r="B44" s="5">
        <v>230106</v>
      </c>
      <c r="C44" s="2">
        <f t="shared" si="2"/>
        <v>14410.87</v>
      </c>
      <c r="D44" s="2"/>
      <c r="E44" s="87"/>
      <c r="F44" s="3">
        <f t="shared" ref="F44:F49" si="4">C44+D44-E44</f>
        <v>14410.87</v>
      </c>
      <c r="G44" s="7"/>
    </row>
    <row r="45" spans="1:7" x14ac:dyDescent="0.5">
      <c r="A45" s="6" t="s">
        <v>99</v>
      </c>
      <c r="B45" s="5"/>
      <c r="C45" s="2">
        <f t="shared" si="2"/>
        <v>2184388.52</v>
      </c>
      <c r="D45" s="8"/>
      <c r="E45" s="9"/>
      <c r="F45" s="3">
        <f t="shared" si="4"/>
        <v>2184388.52</v>
      </c>
      <c r="G45" s="81"/>
    </row>
    <row r="46" spans="1:7" x14ac:dyDescent="0.5">
      <c r="A46" s="6" t="s">
        <v>163</v>
      </c>
      <c r="B46" s="88"/>
      <c r="C46" s="2">
        <f t="shared" si="2"/>
        <v>10000</v>
      </c>
      <c r="D46" s="11"/>
      <c r="E46" s="11"/>
      <c r="F46" s="3">
        <f t="shared" si="4"/>
        <v>10000</v>
      </c>
      <c r="G46" s="12"/>
    </row>
    <row r="47" spans="1:7" x14ac:dyDescent="0.5">
      <c r="A47" s="6" t="s">
        <v>103</v>
      </c>
      <c r="B47" s="10"/>
      <c r="C47" s="2">
        <f t="shared" si="2"/>
        <v>0</v>
      </c>
      <c r="D47" s="11">
        <v>39603</v>
      </c>
      <c r="E47" s="11">
        <v>39603</v>
      </c>
      <c r="F47" s="3">
        <f t="shared" si="4"/>
        <v>0</v>
      </c>
      <c r="G47" s="12"/>
    </row>
    <row r="48" spans="1:7" x14ac:dyDescent="0.5">
      <c r="A48" s="6" t="s">
        <v>104</v>
      </c>
      <c r="B48" s="5"/>
      <c r="C48" s="2">
        <f t="shared" si="2"/>
        <v>0</v>
      </c>
      <c r="D48" s="8">
        <v>38835.83</v>
      </c>
      <c r="E48" s="8">
        <v>38835.83</v>
      </c>
      <c r="F48" s="3">
        <f t="shared" si="4"/>
        <v>0</v>
      </c>
      <c r="G48" s="7"/>
    </row>
    <row r="49" spans="1:7" x14ac:dyDescent="0.5">
      <c r="A49" s="6" t="s">
        <v>90</v>
      </c>
      <c r="B49" s="5"/>
      <c r="C49" s="2">
        <f t="shared" si="2"/>
        <v>0</v>
      </c>
      <c r="D49" s="8">
        <v>68300</v>
      </c>
      <c r="E49" s="8">
        <v>68300</v>
      </c>
      <c r="F49" s="3">
        <f t="shared" si="4"/>
        <v>0</v>
      </c>
      <c r="G49" s="7"/>
    </row>
    <row r="50" spans="1:7" x14ac:dyDescent="0.5">
      <c r="A50" s="6" t="s">
        <v>161</v>
      </c>
      <c r="B50" s="5"/>
      <c r="C50" s="2">
        <f t="shared" si="2"/>
        <v>0</v>
      </c>
      <c r="D50" s="8">
        <v>26780</v>
      </c>
      <c r="E50" s="8">
        <v>26780</v>
      </c>
      <c r="F50" s="3">
        <f>C50+D50-E50</f>
        <v>0</v>
      </c>
      <c r="G50" s="7"/>
    </row>
    <row r="51" spans="1:7" x14ac:dyDescent="0.5">
      <c r="A51" s="6" t="s">
        <v>162</v>
      </c>
      <c r="B51" s="5"/>
      <c r="C51" s="2">
        <f t="shared" si="2"/>
        <v>0</v>
      </c>
      <c r="D51" s="8">
        <v>207062</v>
      </c>
      <c r="E51" s="8">
        <v>207062</v>
      </c>
      <c r="F51" s="3">
        <f>C51+D51-E51</f>
        <v>0</v>
      </c>
      <c r="G51" s="7"/>
    </row>
    <row r="52" spans="1:7" x14ac:dyDescent="0.5">
      <c r="A52" s="6" t="s">
        <v>105</v>
      </c>
      <c r="B52" s="20"/>
      <c r="C52" s="2">
        <f t="shared" si="2"/>
        <v>0</v>
      </c>
      <c r="D52" s="20">
        <v>9100</v>
      </c>
      <c r="E52" s="20">
        <v>9100</v>
      </c>
      <c r="F52" s="3">
        <f>C52+D52-E52</f>
        <v>0</v>
      </c>
      <c r="G52" s="4"/>
    </row>
    <row r="53" spans="1:7" x14ac:dyDescent="0.5">
      <c r="A53" s="6" t="s">
        <v>124</v>
      </c>
      <c r="B53" s="10"/>
      <c r="C53" s="2">
        <f t="shared" si="2"/>
        <v>0</v>
      </c>
      <c r="D53" s="11">
        <v>46700</v>
      </c>
      <c r="E53" s="11">
        <v>46700</v>
      </c>
      <c r="F53" s="3">
        <f>C53+D53-E53</f>
        <v>0</v>
      </c>
      <c r="G53" s="12"/>
    </row>
    <row r="54" spans="1:7" x14ac:dyDescent="0.5">
      <c r="A54" s="6" t="s">
        <v>106</v>
      </c>
      <c r="B54" s="10"/>
      <c r="C54" s="2">
        <f t="shared" si="2"/>
        <v>0</v>
      </c>
      <c r="D54" s="11">
        <v>174</v>
      </c>
      <c r="E54" s="11">
        <v>174</v>
      </c>
      <c r="F54" s="3">
        <f>C54+D54-E54</f>
        <v>0</v>
      </c>
      <c r="G54" s="12"/>
    </row>
    <row r="55" spans="1:7" ht="24" thickBot="1" x14ac:dyDescent="0.55000000000000004">
      <c r="A55" s="42" t="s">
        <v>44</v>
      </c>
      <c r="B55" s="44"/>
      <c r="C55" s="45">
        <f>SUM(C41:C54)</f>
        <v>4410866.12</v>
      </c>
      <c r="D55" s="24">
        <f>SUM(D41:D54)</f>
        <v>448135.33999999997</v>
      </c>
      <c r="E55" s="46">
        <f>SUM(E41:E54)</f>
        <v>441690.63</v>
      </c>
      <c r="F55" s="47">
        <f>SUM(F41:F54)</f>
        <v>4417310.83</v>
      </c>
      <c r="G55" s="48"/>
    </row>
    <row r="56" spans="1:7" ht="24" thickTop="1" x14ac:dyDescent="0.5">
      <c r="A56" s="15"/>
      <c r="B56" s="16"/>
      <c r="C56" s="16"/>
      <c r="D56" s="16"/>
      <c r="E56" s="16"/>
      <c r="F56" s="16"/>
      <c r="G56" s="17"/>
    </row>
    <row r="57" spans="1:7" x14ac:dyDescent="0.5">
      <c r="A57" s="14"/>
      <c r="B57" s="200" t="s">
        <v>191</v>
      </c>
      <c r="C57" s="200"/>
      <c r="D57" s="200"/>
      <c r="E57" s="200"/>
      <c r="F57" s="14"/>
      <c r="G57" s="14"/>
    </row>
    <row r="58" spans="1:7" x14ac:dyDescent="0.5">
      <c r="A58" s="199" t="s">
        <v>150</v>
      </c>
      <c r="B58" s="199"/>
      <c r="C58" s="199"/>
      <c r="D58" s="199"/>
      <c r="E58" s="199"/>
      <c r="F58" s="199"/>
      <c r="G58" s="199"/>
    </row>
    <row r="59" spans="1:7" x14ac:dyDescent="0.5">
      <c r="A59" s="199" t="s">
        <v>151</v>
      </c>
      <c r="B59" s="199"/>
      <c r="C59" s="199"/>
      <c r="D59" s="199"/>
      <c r="E59" s="199"/>
      <c r="F59" s="199"/>
      <c r="G59" s="199"/>
    </row>
    <row r="60" spans="1:7" x14ac:dyDescent="0.5">
      <c r="A60" s="14"/>
      <c r="B60" s="14"/>
      <c r="C60" s="14"/>
      <c r="D60" s="14"/>
      <c r="E60" s="14"/>
      <c r="F60" s="14"/>
      <c r="G60" s="14"/>
    </row>
    <row r="61" spans="1:7" x14ac:dyDescent="0.5">
      <c r="A61" s="14"/>
      <c r="B61" s="199" t="s">
        <v>192</v>
      </c>
      <c r="C61" s="199"/>
      <c r="D61" s="199"/>
      <c r="E61" s="199"/>
      <c r="F61" s="14"/>
      <c r="G61" s="14"/>
    </row>
    <row r="62" spans="1:7" x14ac:dyDescent="0.5">
      <c r="A62" s="199" t="s">
        <v>152</v>
      </c>
      <c r="B62" s="199"/>
      <c r="C62" s="199"/>
      <c r="D62" s="199"/>
      <c r="E62" s="199"/>
      <c r="F62" s="199"/>
      <c r="G62" s="199"/>
    </row>
    <row r="63" spans="1:7" x14ac:dyDescent="0.5">
      <c r="A63" s="199" t="s">
        <v>153</v>
      </c>
      <c r="B63" s="199"/>
      <c r="C63" s="199"/>
      <c r="D63" s="199"/>
      <c r="E63" s="199"/>
      <c r="F63" s="199"/>
      <c r="G63" s="199"/>
    </row>
    <row r="64" spans="1:7" x14ac:dyDescent="0.5">
      <c r="A64" s="14"/>
      <c r="B64" s="14"/>
      <c r="C64" s="14"/>
      <c r="D64" s="14"/>
      <c r="E64" s="14"/>
      <c r="F64" s="14"/>
      <c r="G64" s="14"/>
    </row>
    <row r="65" spans="1:7" x14ac:dyDescent="0.5">
      <c r="A65" s="14"/>
      <c r="B65" s="199" t="s">
        <v>193</v>
      </c>
      <c r="C65" s="199"/>
      <c r="D65" s="199"/>
      <c r="E65" s="199"/>
      <c r="F65" s="14"/>
      <c r="G65" s="14"/>
    </row>
    <row r="66" spans="1:7" x14ac:dyDescent="0.5">
      <c r="A66" s="199" t="s">
        <v>208</v>
      </c>
      <c r="B66" s="199"/>
      <c r="C66" s="199"/>
      <c r="D66" s="199"/>
      <c r="E66" s="199"/>
      <c r="F66" s="199"/>
      <c r="G66" s="199"/>
    </row>
    <row r="67" spans="1:7" x14ac:dyDescent="0.5">
      <c r="A67" s="199" t="s">
        <v>209</v>
      </c>
      <c r="B67" s="199"/>
      <c r="C67" s="199"/>
      <c r="D67" s="199"/>
      <c r="E67" s="199"/>
      <c r="F67" s="199"/>
      <c r="G67" s="199"/>
    </row>
    <row r="68" spans="1:7" x14ac:dyDescent="0.5">
      <c r="A68" s="97"/>
      <c r="B68" s="97"/>
      <c r="C68" s="97"/>
      <c r="D68" s="97"/>
      <c r="E68" s="97"/>
      <c r="F68" s="97"/>
      <c r="G68" s="97"/>
    </row>
    <row r="69" spans="1:7" x14ac:dyDescent="0.5">
      <c r="A69" s="97"/>
      <c r="B69" s="97"/>
      <c r="C69" s="97"/>
      <c r="D69" s="97"/>
      <c r="E69" s="97"/>
      <c r="F69" s="97"/>
      <c r="G69" s="97"/>
    </row>
    <row r="70" spans="1:7" x14ac:dyDescent="0.5">
      <c r="A70" s="97"/>
      <c r="B70" s="97"/>
      <c r="C70" s="97"/>
      <c r="D70" s="97"/>
      <c r="E70" s="97"/>
      <c r="F70" s="97"/>
      <c r="G70" s="97"/>
    </row>
    <row r="71" spans="1:7" x14ac:dyDescent="0.5">
      <c r="A71" s="97"/>
      <c r="B71" s="97"/>
      <c r="C71" s="97"/>
      <c r="D71" s="97"/>
      <c r="E71" s="97"/>
      <c r="F71" s="97"/>
      <c r="G71" s="97"/>
    </row>
    <row r="72" spans="1:7" x14ac:dyDescent="0.5">
      <c r="C72" s="14"/>
    </row>
    <row r="74" spans="1:7" x14ac:dyDescent="0.5">
      <c r="A74" s="170" t="s">
        <v>117</v>
      </c>
      <c r="B74" s="170"/>
      <c r="C74" s="170"/>
      <c r="D74" s="170"/>
      <c r="E74" s="170"/>
      <c r="F74" s="170"/>
      <c r="G74" s="170"/>
    </row>
    <row r="75" spans="1:7" x14ac:dyDescent="0.5">
      <c r="A75" s="170" t="s">
        <v>47</v>
      </c>
      <c r="B75" s="170"/>
      <c r="C75" s="170"/>
      <c r="D75" s="170"/>
      <c r="E75" s="170"/>
      <c r="F75" s="170"/>
      <c r="G75" s="170"/>
    </row>
    <row r="76" spans="1:7" x14ac:dyDescent="0.5">
      <c r="A76" s="170" t="s">
        <v>212</v>
      </c>
      <c r="B76" s="170"/>
      <c r="C76" s="170"/>
      <c r="D76" s="170"/>
      <c r="E76" s="170"/>
      <c r="F76" s="170"/>
      <c r="G76" s="170"/>
    </row>
    <row r="77" spans="1:7" x14ac:dyDescent="0.5">
      <c r="A77" s="21" t="s">
        <v>37</v>
      </c>
      <c r="B77" s="21" t="s">
        <v>1</v>
      </c>
      <c r="C77" s="21" t="s">
        <v>25</v>
      </c>
      <c r="D77" s="21" t="s">
        <v>48</v>
      </c>
      <c r="E77" s="98" t="s">
        <v>49</v>
      </c>
      <c r="F77" s="21" t="s">
        <v>58</v>
      </c>
      <c r="G77" s="21" t="s">
        <v>50</v>
      </c>
    </row>
    <row r="78" spans="1:7" x14ac:dyDescent="0.5">
      <c r="A78" s="6" t="s">
        <v>51</v>
      </c>
      <c r="B78" s="5">
        <v>230102</v>
      </c>
      <c r="C78" s="2">
        <f>F41</f>
        <v>11580.510000000002</v>
      </c>
      <c r="D78" s="2">
        <v>16966.349999999999</v>
      </c>
      <c r="E78" s="2">
        <v>11580.51</v>
      </c>
      <c r="F78" s="3">
        <f>C78+D78-E78</f>
        <v>16966.349999999999</v>
      </c>
      <c r="G78" s="7"/>
    </row>
    <row r="79" spans="1:7" x14ac:dyDescent="0.5">
      <c r="A79" s="6" t="s">
        <v>52</v>
      </c>
      <c r="B79" s="5">
        <v>230108</v>
      </c>
      <c r="C79" s="2">
        <f t="shared" ref="C79:C91" si="5">F42</f>
        <v>2174480.25</v>
      </c>
      <c r="D79" s="2">
        <v>10000</v>
      </c>
      <c r="E79" s="94">
        <v>85605</v>
      </c>
      <c r="F79" s="3">
        <f t="shared" ref="F79" si="6">C79+D79-E79</f>
        <v>2098875.25</v>
      </c>
      <c r="G79" s="7"/>
    </row>
    <row r="80" spans="1:7" x14ac:dyDescent="0.5">
      <c r="A80" s="6" t="s">
        <v>53</v>
      </c>
      <c r="B80" s="5">
        <v>230105</v>
      </c>
      <c r="C80" s="2">
        <f t="shared" si="5"/>
        <v>22450.68</v>
      </c>
      <c r="D80" s="2">
        <v>12.34</v>
      </c>
      <c r="E80" s="94"/>
      <c r="F80" s="3">
        <f>C80+D80-E80</f>
        <v>22463.02</v>
      </c>
      <c r="G80" s="7"/>
    </row>
    <row r="81" spans="1:7" x14ac:dyDescent="0.5">
      <c r="A81" s="6" t="s">
        <v>57</v>
      </c>
      <c r="B81" s="5">
        <v>230106</v>
      </c>
      <c r="C81" s="2">
        <f t="shared" si="5"/>
        <v>14410.87</v>
      </c>
      <c r="D81" s="2"/>
      <c r="E81" s="94"/>
      <c r="F81" s="3">
        <f t="shared" ref="F81:F86" si="7">C81+D81-E81</f>
        <v>14410.87</v>
      </c>
      <c r="G81" s="7"/>
    </row>
    <row r="82" spans="1:7" x14ac:dyDescent="0.5">
      <c r="A82" s="6" t="s">
        <v>99</v>
      </c>
      <c r="B82" s="5"/>
      <c r="C82" s="2">
        <f t="shared" si="5"/>
        <v>2184388.52</v>
      </c>
      <c r="D82" s="8">
        <v>1158885</v>
      </c>
      <c r="E82" s="9"/>
      <c r="F82" s="3">
        <f t="shared" si="7"/>
        <v>3343273.52</v>
      </c>
      <c r="G82" s="81"/>
    </row>
    <row r="83" spans="1:7" x14ac:dyDescent="0.5">
      <c r="A83" s="6" t="s">
        <v>163</v>
      </c>
      <c r="B83" s="96"/>
      <c r="C83" s="2">
        <f t="shared" si="5"/>
        <v>10000</v>
      </c>
      <c r="D83" s="11"/>
      <c r="E83" s="11">
        <v>3000</v>
      </c>
      <c r="F83" s="3">
        <f t="shared" si="7"/>
        <v>7000</v>
      </c>
      <c r="G83" s="12"/>
    </row>
    <row r="84" spans="1:7" x14ac:dyDescent="0.5">
      <c r="A84" s="6" t="s">
        <v>103</v>
      </c>
      <c r="B84" s="10"/>
      <c r="C84" s="2">
        <f t="shared" si="5"/>
        <v>0</v>
      </c>
      <c r="D84" s="11">
        <v>39852.75</v>
      </c>
      <c r="E84" s="11">
        <v>39852.75</v>
      </c>
      <c r="F84" s="3">
        <f t="shared" si="7"/>
        <v>0</v>
      </c>
      <c r="G84" s="12"/>
    </row>
    <row r="85" spans="1:7" x14ac:dyDescent="0.5">
      <c r="A85" s="6" t="s">
        <v>104</v>
      </c>
      <c r="B85" s="5"/>
      <c r="C85" s="2">
        <f t="shared" si="5"/>
        <v>0</v>
      </c>
      <c r="D85" s="8">
        <v>38437.839999999997</v>
      </c>
      <c r="E85" s="8">
        <v>38437.839999999997</v>
      </c>
      <c r="F85" s="3">
        <f t="shared" si="7"/>
        <v>0</v>
      </c>
      <c r="G85" s="7"/>
    </row>
    <row r="86" spans="1:7" x14ac:dyDescent="0.5">
      <c r="A86" s="6" t="s">
        <v>90</v>
      </c>
      <c r="B86" s="5"/>
      <c r="C86" s="2">
        <f t="shared" si="5"/>
        <v>0</v>
      </c>
      <c r="D86" s="8">
        <v>68300</v>
      </c>
      <c r="E86" s="8">
        <v>68300</v>
      </c>
      <c r="F86" s="3">
        <f t="shared" si="7"/>
        <v>0</v>
      </c>
      <c r="G86" s="7"/>
    </row>
    <row r="87" spans="1:7" x14ac:dyDescent="0.5">
      <c r="A87" s="6" t="s">
        <v>161</v>
      </c>
      <c r="B87" s="5"/>
      <c r="C87" s="2">
        <f t="shared" si="5"/>
        <v>0</v>
      </c>
      <c r="D87" s="8">
        <v>26780</v>
      </c>
      <c r="E87" s="8">
        <v>26780</v>
      </c>
      <c r="F87" s="3">
        <f>C87+D87-E87</f>
        <v>0</v>
      </c>
      <c r="G87" s="7"/>
    </row>
    <row r="88" spans="1:7" x14ac:dyDescent="0.5">
      <c r="A88" s="6" t="s">
        <v>162</v>
      </c>
      <c r="B88" s="5"/>
      <c r="C88" s="2">
        <f t="shared" si="5"/>
        <v>0</v>
      </c>
      <c r="D88" s="8">
        <v>225100</v>
      </c>
      <c r="E88" s="8">
        <v>225100</v>
      </c>
      <c r="F88" s="3">
        <f>C88+D88-E88</f>
        <v>0</v>
      </c>
      <c r="G88" s="7"/>
    </row>
    <row r="89" spans="1:7" x14ac:dyDescent="0.5">
      <c r="A89" s="6" t="s">
        <v>105</v>
      </c>
      <c r="B89" s="20"/>
      <c r="C89" s="2">
        <f t="shared" si="5"/>
        <v>0</v>
      </c>
      <c r="D89" s="20">
        <v>9100</v>
      </c>
      <c r="E89" s="20">
        <v>9100</v>
      </c>
      <c r="F89" s="3">
        <f>C89+D89-E89</f>
        <v>0</v>
      </c>
      <c r="G89" s="4"/>
    </row>
    <row r="90" spans="1:7" x14ac:dyDescent="0.5">
      <c r="A90" s="6" t="s">
        <v>124</v>
      </c>
      <c r="B90" s="10"/>
      <c r="C90" s="2">
        <f t="shared" si="5"/>
        <v>0</v>
      </c>
      <c r="D90" s="11">
        <v>53990</v>
      </c>
      <c r="E90" s="11">
        <v>53990</v>
      </c>
      <c r="F90" s="3">
        <f>C90+D90-E90</f>
        <v>0</v>
      </c>
      <c r="G90" s="12"/>
    </row>
    <row r="91" spans="1:7" x14ac:dyDescent="0.5">
      <c r="A91" s="6" t="s">
        <v>106</v>
      </c>
      <c r="B91" s="10"/>
      <c r="C91" s="2">
        <f t="shared" si="5"/>
        <v>0</v>
      </c>
      <c r="D91" s="11">
        <v>180</v>
      </c>
      <c r="E91" s="11">
        <v>180</v>
      </c>
      <c r="F91" s="3">
        <f>C91+D91-E91</f>
        <v>0</v>
      </c>
      <c r="G91" s="12"/>
    </row>
    <row r="92" spans="1:7" ht="24" thickBot="1" x14ac:dyDescent="0.55000000000000004">
      <c r="A92" s="42" t="s">
        <v>44</v>
      </c>
      <c r="B92" s="44"/>
      <c r="C92" s="45">
        <f>SUM(C78:C91)</f>
        <v>4417310.83</v>
      </c>
      <c r="D92" s="24">
        <f>SUM(D78:D91)</f>
        <v>1647604.28</v>
      </c>
      <c r="E92" s="46">
        <f>SUM(E78:E91)</f>
        <v>561926.1</v>
      </c>
      <c r="F92" s="47">
        <f>SUM(F78:F91)</f>
        <v>5502989.0099999998</v>
      </c>
      <c r="G92" s="48"/>
    </row>
    <row r="93" spans="1:7" ht="24" thickTop="1" x14ac:dyDescent="0.5">
      <c r="A93" s="15"/>
      <c r="B93" s="16"/>
      <c r="C93" s="16"/>
      <c r="D93" s="16"/>
      <c r="E93" s="16"/>
      <c r="F93" s="16"/>
      <c r="G93" s="17"/>
    </row>
    <row r="94" spans="1:7" x14ac:dyDescent="0.5">
      <c r="A94" s="14"/>
      <c r="B94" s="200" t="s">
        <v>191</v>
      </c>
      <c r="C94" s="200"/>
      <c r="D94" s="200"/>
      <c r="E94" s="200"/>
      <c r="F94" s="14"/>
      <c r="G94" s="14"/>
    </row>
    <row r="95" spans="1:7" x14ac:dyDescent="0.5">
      <c r="A95" s="199" t="s">
        <v>150</v>
      </c>
      <c r="B95" s="199"/>
      <c r="C95" s="199"/>
      <c r="D95" s="199"/>
      <c r="E95" s="199"/>
      <c r="F95" s="199"/>
      <c r="G95" s="199"/>
    </row>
    <row r="96" spans="1:7" x14ac:dyDescent="0.5">
      <c r="A96" s="199" t="s">
        <v>151</v>
      </c>
      <c r="B96" s="199"/>
      <c r="C96" s="199"/>
      <c r="D96" s="199"/>
      <c r="E96" s="199"/>
      <c r="F96" s="199"/>
      <c r="G96" s="199"/>
    </row>
    <row r="97" spans="1:7" x14ac:dyDescent="0.5">
      <c r="A97" s="14"/>
      <c r="B97" s="14"/>
      <c r="C97" s="14"/>
      <c r="D97" s="14"/>
      <c r="E97" s="14"/>
      <c r="F97" s="14"/>
      <c r="G97" s="14"/>
    </row>
    <row r="98" spans="1:7" x14ac:dyDescent="0.5">
      <c r="A98" s="14"/>
      <c r="B98" s="199" t="s">
        <v>192</v>
      </c>
      <c r="C98" s="199"/>
      <c r="D98" s="199"/>
      <c r="E98" s="199"/>
      <c r="F98" s="14"/>
      <c r="G98" s="14"/>
    </row>
    <row r="99" spans="1:7" x14ac:dyDescent="0.5">
      <c r="A99" s="199" t="s">
        <v>152</v>
      </c>
      <c r="B99" s="199"/>
      <c r="C99" s="199"/>
      <c r="D99" s="199"/>
      <c r="E99" s="199"/>
      <c r="F99" s="199"/>
      <c r="G99" s="199"/>
    </row>
    <row r="100" spans="1:7" x14ac:dyDescent="0.5">
      <c r="A100" s="199" t="s">
        <v>153</v>
      </c>
      <c r="B100" s="199"/>
      <c r="C100" s="199"/>
      <c r="D100" s="199"/>
      <c r="E100" s="199"/>
      <c r="F100" s="199"/>
      <c r="G100" s="199"/>
    </row>
    <row r="101" spans="1:7" x14ac:dyDescent="0.5">
      <c r="A101" s="14"/>
      <c r="B101" s="14"/>
      <c r="C101" s="14"/>
      <c r="D101" s="14"/>
      <c r="E101" s="14"/>
      <c r="F101" s="14"/>
      <c r="G101" s="14"/>
    </row>
    <row r="102" spans="1:7" x14ac:dyDescent="0.5">
      <c r="A102" s="14"/>
      <c r="B102" s="199" t="s">
        <v>193</v>
      </c>
      <c r="C102" s="199"/>
      <c r="D102" s="199"/>
      <c r="E102" s="199"/>
      <c r="F102" s="14"/>
      <c r="G102" s="14"/>
    </row>
    <row r="103" spans="1:7" x14ac:dyDescent="0.5">
      <c r="A103" s="199" t="s">
        <v>208</v>
      </c>
      <c r="B103" s="199"/>
      <c r="C103" s="199"/>
      <c r="D103" s="199"/>
      <c r="E103" s="199"/>
      <c r="F103" s="199"/>
      <c r="G103" s="199"/>
    </row>
    <row r="104" spans="1:7" x14ac:dyDescent="0.5">
      <c r="A104" s="199" t="s">
        <v>209</v>
      </c>
      <c r="B104" s="199"/>
      <c r="C104" s="199"/>
      <c r="D104" s="199"/>
      <c r="E104" s="199"/>
      <c r="F104" s="199"/>
      <c r="G104" s="199"/>
    </row>
    <row r="105" spans="1:7" x14ac:dyDescent="0.5">
      <c r="A105" s="104"/>
      <c r="B105" s="104"/>
      <c r="C105" s="104"/>
      <c r="D105" s="104"/>
      <c r="E105" s="104"/>
      <c r="F105" s="104"/>
      <c r="G105" s="104"/>
    </row>
    <row r="106" spans="1:7" x14ac:dyDescent="0.5">
      <c r="A106" s="104"/>
      <c r="B106" s="104"/>
      <c r="C106" s="104"/>
      <c r="D106" s="104"/>
      <c r="E106" s="104"/>
      <c r="F106" s="104"/>
      <c r="G106" s="104"/>
    </row>
    <row r="110" spans="1:7" x14ac:dyDescent="0.5">
      <c r="A110" s="170" t="s">
        <v>117</v>
      </c>
      <c r="B110" s="170"/>
      <c r="C110" s="170"/>
      <c r="D110" s="170"/>
      <c r="E110" s="170"/>
      <c r="F110" s="170"/>
      <c r="G110" s="170"/>
    </row>
    <row r="111" spans="1:7" x14ac:dyDescent="0.5">
      <c r="A111" s="170" t="s">
        <v>47</v>
      </c>
      <c r="B111" s="170"/>
      <c r="C111" s="170"/>
      <c r="D111" s="170"/>
      <c r="E111" s="170"/>
      <c r="F111" s="170"/>
      <c r="G111" s="170"/>
    </row>
    <row r="112" spans="1:7" x14ac:dyDescent="0.5">
      <c r="A112" s="170" t="s">
        <v>218</v>
      </c>
      <c r="B112" s="170"/>
      <c r="C112" s="170"/>
      <c r="D112" s="170"/>
      <c r="E112" s="170"/>
      <c r="F112" s="170"/>
      <c r="G112" s="170"/>
    </row>
    <row r="113" spans="1:7" x14ac:dyDescent="0.5">
      <c r="A113" s="21" t="s">
        <v>37</v>
      </c>
      <c r="B113" s="21" t="s">
        <v>1</v>
      </c>
      <c r="C113" s="21" t="s">
        <v>25</v>
      </c>
      <c r="D113" s="21" t="s">
        <v>48</v>
      </c>
      <c r="E113" s="105" t="s">
        <v>49</v>
      </c>
      <c r="F113" s="21" t="s">
        <v>58</v>
      </c>
      <c r="G113" s="21" t="s">
        <v>50</v>
      </c>
    </row>
    <row r="114" spans="1:7" x14ac:dyDescent="0.5">
      <c r="A114" s="6" t="s">
        <v>51</v>
      </c>
      <c r="B114" s="5">
        <v>230102</v>
      </c>
      <c r="C114" s="2">
        <f>F78</f>
        <v>16966.349999999999</v>
      </c>
      <c r="D114" s="2">
        <v>48030.25</v>
      </c>
      <c r="E114" s="2">
        <v>16966.349999999999</v>
      </c>
      <c r="F114" s="3">
        <f>C114+D114-E114</f>
        <v>48030.25</v>
      </c>
      <c r="G114" s="7"/>
    </row>
    <row r="115" spans="1:7" x14ac:dyDescent="0.5">
      <c r="A115" s="6" t="s">
        <v>52</v>
      </c>
      <c r="B115" s="5">
        <v>230108</v>
      </c>
      <c r="C115" s="2">
        <f t="shared" ref="C115" si="8">F79</f>
        <v>2098875.25</v>
      </c>
      <c r="D115" s="2">
        <f>144540-125000</f>
        <v>19540</v>
      </c>
      <c r="E115" s="99">
        <v>9300</v>
      </c>
      <c r="F115" s="3">
        <f t="shared" ref="F115:F116" si="9">C115+D115-E115</f>
        <v>2109115.25</v>
      </c>
      <c r="G115" s="7"/>
    </row>
    <row r="116" spans="1:7" x14ac:dyDescent="0.5">
      <c r="A116" s="6" t="s">
        <v>226</v>
      </c>
      <c r="B116" s="5"/>
      <c r="C116" s="2"/>
      <c r="D116" s="2">
        <f>125000</f>
        <v>125000</v>
      </c>
      <c r="E116" s="99"/>
      <c r="F116" s="3">
        <f t="shared" si="9"/>
        <v>125000</v>
      </c>
      <c r="G116" s="7"/>
    </row>
    <row r="117" spans="1:7" x14ac:dyDescent="0.5">
      <c r="A117" s="6" t="s">
        <v>53</v>
      </c>
      <c r="B117" s="5">
        <v>230105</v>
      </c>
      <c r="C117" s="2">
        <f>F80</f>
        <v>22463.02</v>
      </c>
      <c r="D117" s="2">
        <v>361.9</v>
      </c>
      <c r="E117" s="99"/>
      <c r="F117" s="3">
        <f>C117+D117-E117</f>
        <v>22824.920000000002</v>
      </c>
      <c r="G117" s="7"/>
    </row>
    <row r="118" spans="1:7" x14ac:dyDescent="0.5">
      <c r="A118" s="6" t="s">
        <v>57</v>
      </c>
      <c r="B118" s="5">
        <v>230106</v>
      </c>
      <c r="C118" s="2">
        <f>F81</f>
        <v>14410.87</v>
      </c>
      <c r="D118" s="2"/>
      <c r="E118" s="99"/>
      <c r="F118" s="3">
        <f t="shared" ref="F118:F125" si="10">C118+D118-E118</f>
        <v>14410.87</v>
      </c>
      <c r="G118" s="7"/>
    </row>
    <row r="119" spans="1:7" x14ac:dyDescent="0.5">
      <c r="A119" s="6" t="s">
        <v>99</v>
      </c>
      <c r="B119" s="5"/>
      <c r="C119" s="2">
        <f>F82</f>
        <v>3343273.52</v>
      </c>
      <c r="D119" s="8"/>
      <c r="E119" s="9"/>
      <c r="F119" s="3">
        <f t="shared" si="10"/>
        <v>3343273.52</v>
      </c>
      <c r="G119" s="81"/>
    </row>
    <row r="120" spans="1:7" x14ac:dyDescent="0.5">
      <c r="A120" s="6" t="s">
        <v>163</v>
      </c>
      <c r="B120" s="100"/>
      <c r="C120" s="2">
        <f>F83</f>
        <v>7000</v>
      </c>
      <c r="D120" s="11"/>
      <c r="E120" s="11"/>
      <c r="F120" s="3">
        <f t="shared" si="10"/>
        <v>7000</v>
      </c>
      <c r="G120" s="12"/>
    </row>
    <row r="121" spans="1:7" x14ac:dyDescent="0.5">
      <c r="A121" s="6" t="s">
        <v>219</v>
      </c>
      <c r="B121" s="100"/>
      <c r="C121" s="2"/>
      <c r="D121" s="11">
        <v>9305</v>
      </c>
      <c r="E121" s="11"/>
      <c r="F121" s="3">
        <f t="shared" si="10"/>
        <v>9305</v>
      </c>
      <c r="G121" s="12"/>
    </row>
    <row r="122" spans="1:7" x14ac:dyDescent="0.5">
      <c r="A122" s="6" t="s">
        <v>220</v>
      </c>
      <c r="B122" s="100"/>
      <c r="C122" s="2"/>
      <c r="D122" s="11">
        <v>31470</v>
      </c>
      <c r="E122" s="11"/>
      <c r="F122" s="3">
        <f t="shared" si="10"/>
        <v>31470</v>
      </c>
      <c r="G122" s="12"/>
    </row>
    <row r="123" spans="1:7" x14ac:dyDescent="0.5">
      <c r="A123" s="6" t="s">
        <v>103</v>
      </c>
      <c r="B123" s="10"/>
      <c r="C123" s="2">
        <f t="shared" ref="C123:C130" si="11">F84</f>
        <v>0</v>
      </c>
      <c r="D123" s="11">
        <v>39747.25</v>
      </c>
      <c r="E123" s="11">
        <v>39747.25</v>
      </c>
      <c r="F123" s="3">
        <f t="shared" si="10"/>
        <v>0</v>
      </c>
      <c r="G123" s="12"/>
    </row>
    <row r="124" spans="1:7" x14ac:dyDescent="0.5">
      <c r="A124" s="6" t="s">
        <v>104</v>
      </c>
      <c r="B124" s="5"/>
      <c r="C124" s="2">
        <f t="shared" si="11"/>
        <v>0</v>
      </c>
      <c r="D124" s="8">
        <v>41489.83</v>
      </c>
      <c r="E124" s="8">
        <v>41489.83</v>
      </c>
      <c r="F124" s="3">
        <f t="shared" si="10"/>
        <v>0</v>
      </c>
      <c r="G124" s="7"/>
    </row>
    <row r="125" spans="1:7" x14ac:dyDescent="0.5">
      <c r="A125" s="6" t="s">
        <v>90</v>
      </c>
      <c r="B125" s="5"/>
      <c r="C125" s="2">
        <f t="shared" si="11"/>
        <v>0</v>
      </c>
      <c r="D125" s="8">
        <v>68300</v>
      </c>
      <c r="E125" s="8">
        <v>68300</v>
      </c>
      <c r="F125" s="3">
        <f t="shared" si="10"/>
        <v>0</v>
      </c>
      <c r="G125" s="7"/>
    </row>
    <row r="126" spans="1:7" x14ac:dyDescent="0.5">
      <c r="A126" s="6" t="s">
        <v>161</v>
      </c>
      <c r="B126" s="5"/>
      <c r="C126" s="2">
        <f t="shared" si="11"/>
        <v>0</v>
      </c>
      <c r="D126" s="8">
        <v>23800</v>
      </c>
      <c r="E126" s="8">
        <v>23800</v>
      </c>
      <c r="F126" s="3">
        <f>C126+D126-E126</f>
        <v>0</v>
      </c>
      <c r="G126" s="7"/>
    </row>
    <row r="127" spans="1:7" x14ac:dyDescent="0.5">
      <c r="A127" s="6" t="s">
        <v>162</v>
      </c>
      <c r="B127" s="5"/>
      <c r="C127" s="2">
        <f t="shared" si="11"/>
        <v>0</v>
      </c>
      <c r="D127" s="8">
        <v>225100</v>
      </c>
      <c r="E127" s="8">
        <v>225100</v>
      </c>
      <c r="F127" s="3">
        <f>C127+D127-E127</f>
        <v>0</v>
      </c>
      <c r="G127" s="7"/>
    </row>
    <row r="128" spans="1:7" x14ac:dyDescent="0.5">
      <c r="A128" s="6" t="s">
        <v>105</v>
      </c>
      <c r="B128" s="20"/>
      <c r="C128" s="2">
        <f t="shared" si="11"/>
        <v>0</v>
      </c>
      <c r="D128" s="20">
        <v>9400</v>
      </c>
      <c r="E128" s="20">
        <v>9400</v>
      </c>
      <c r="F128" s="3">
        <f>C128+D128-E128</f>
        <v>0</v>
      </c>
      <c r="G128" s="4"/>
    </row>
    <row r="129" spans="1:7" x14ac:dyDescent="0.5">
      <c r="A129" s="6" t="s">
        <v>124</v>
      </c>
      <c r="B129" s="10"/>
      <c r="C129" s="2">
        <f t="shared" si="11"/>
        <v>0</v>
      </c>
      <c r="D129" s="11">
        <v>54066</v>
      </c>
      <c r="E129" s="11">
        <v>54066</v>
      </c>
      <c r="F129" s="3">
        <f>C129+D129-E129</f>
        <v>0</v>
      </c>
      <c r="G129" s="12"/>
    </row>
    <row r="130" spans="1:7" x14ac:dyDescent="0.5">
      <c r="A130" s="6" t="s">
        <v>106</v>
      </c>
      <c r="B130" s="10"/>
      <c r="C130" s="2">
        <f t="shared" si="11"/>
        <v>0</v>
      </c>
      <c r="D130" s="11">
        <v>0</v>
      </c>
      <c r="E130" s="11">
        <v>0</v>
      </c>
      <c r="F130" s="3">
        <f>C130+D130-E130</f>
        <v>0</v>
      </c>
      <c r="G130" s="12"/>
    </row>
    <row r="131" spans="1:7" ht="24" thickBot="1" x14ac:dyDescent="0.55000000000000004">
      <c r="A131" s="42" t="s">
        <v>44</v>
      </c>
      <c r="B131" s="44"/>
      <c r="C131" s="45">
        <f>SUM(C114:C130)</f>
        <v>5502989.0099999998</v>
      </c>
      <c r="D131" s="24">
        <f>SUM(D114:D130)</f>
        <v>695610.23</v>
      </c>
      <c r="E131" s="46">
        <f>SUM(E114:E130)</f>
        <v>488169.43</v>
      </c>
      <c r="F131" s="47">
        <f>SUM(F114:F130)</f>
        <v>5710429.8100000005</v>
      </c>
      <c r="G131" s="48"/>
    </row>
    <row r="132" spans="1:7" ht="24" thickTop="1" x14ac:dyDescent="0.5">
      <c r="A132" s="15"/>
      <c r="B132" s="16"/>
      <c r="C132" s="16"/>
      <c r="D132" s="16"/>
      <c r="E132" s="16"/>
      <c r="F132" s="16"/>
      <c r="G132" s="17"/>
    </row>
    <row r="133" spans="1:7" x14ac:dyDescent="0.5">
      <c r="A133" s="14"/>
      <c r="B133" s="200" t="s">
        <v>191</v>
      </c>
      <c r="C133" s="200"/>
      <c r="D133" s="200"/>
      <c r="E133" s="200"/>
      <c r="F133" s="14"/>
      <c r="G133" s="14"/>
    </row>
    <row r="134" spans="1:7" x14ac:dyDescent="0.5">
      <c r="A134" s="199" t="s">
        <v>150</v>
      </c>
      <c r="B134" s="199"/>
      <c r="C134" s="199"/>
      <c r="D134" s="199"/>
      <c r="E134" s="199"/>
      <c r="F134" s="199"/>
      <c r="G134" s="199"/>
    </row>
    <row r="135" spans="1:7" x14ac:dyDescent="0.5">
      <c r="A135" s="199" t="s">
        <v>151</v>
      </c>
      <c r="B135" s="199"/>
      <c r="C135" s="199"/>
      <c r="D135" s="199"/>
      <c r="E135" s="199"/>
      <c r="F135" s="199"/>
      <c r="G135" s="199"/>
    </row>
    <row r="136" spans="1:7" x14ac:dyDescent="0.5">
      <c r="A136" s="14"/>
      <c r="B136" s="14"/>
      <c r="C136" s="14"/>
      <c r="D136" s="14"/>
      <c r="E136" s="14"/>
      <c r="F136" s="14"/>
      <c r="G136" s="14"/>
    </row>
    <row r="137" spans="1:7" x14ac:dyDescent="0.5">
      <c r="A137" s="14"/>
      <c r="B137" s="199" t="s">
        <v>192</v>
      </c>
      <c r="C137" s="199"/>
      <c r="D137" s="199"/>
      <c r="E137" s="199"/>
      <c r="F137" s="14"/>
      <c r="G137" s="14"/>
    </row>
    <row r="138" spans="1:7" x14ac:dyDescent="0.5">
      <c r="A138" s="199" t="s">
        <v>152</v>
      </c>
      <c r="B138" s="199"/>
      <c r="C138" s="199"/>
      <c r="D138" s="199"/>
      <c r="E138" s="199"/>
      <c r="F138" s="199"/>
      <c r="G138" s="199"/>
    </row>
    <row r="139" spans="1:7" x14ac:dyDescent="0.5">
      <c r="A139" s="199" t="s">
        <v>153</v>
      </c>
      <c r="B139" s="199"/>
      <c r="C139" s="199"/>
      <c r="D139" s="199"/>
      <c r="E139" s="199"/>
      <c r="F139" s="199"/>
      <c r="G139" s="199"/>
    </row>
    <row r="140" spans="1:7" x14ac:dyDescent="0.5">
      <c r="A140" s="14"/>
      <c r="B140" s="14"/>
      <c r="C140" s="14"/>
      <c r="D140" s="14"/>
      <c r="E140" s="14"/>
      <c r="F140" s="14"/>
      <c r="G140" s="14"/>
    </row>
    <row r="141" spans="1:7" x14ac:dyDescent="0.5">
      <c r="A141" s="14"/>
      <c r="B141" s="199" t="s">
        <v>193</v>
      </c>
      <c r="C141" s="199"/>
      <c r="D141" s="199"/>
      <c r="E141" s="199"/>
      <c r="F141" s="14"/>
      <c r="G141" s="14"/>
    </row>
    <row r="142" spans="1:7" x14ac:dyDescent="0.5">
      <c r="A142" s="199" t="s">
        <v>208</v>
      </c>
      <c r="B142" s="199"/>
      <c r="C142" s="199"/>
      <c r="D142" s="199"/>
      <c r="E142" s="199"/>
      <c r="F142" s="199"/>
      <c r="G142" s="199"/>
    </row>
    <row r="143" spans="1:7" x14ac:dyDescent="0.5">
      <c r="A143" s="199" t="s">
        <v>209</v>
      </c>
      <c r="B143" s="199"/>
      <c r="C143" s="199"/>
      <c r="D143" s="199"/>
      <c r="E143" s="199"/>
      <c r="F143" s="199"/>
      <c r="G143" s="199"/>
    </row>
    <row r="146" spans="1:8" x14ac:dyDescent="0.5">
      <c r="A146" s="170" t="s">
        <v>117</v>
      </c>
      <c r="B146" s="170"/>
      <c r="C146" s="170"/>
      <c r="D146" s="170"/>
      <c r="E146" s="170"/>
      <c r="F146" s="170"/>
      <c r="G146" s="170"/>
    </row>
    <row r="147" spans="1:8" x14ac:dyDescent="0.5">
      <c r="A147" s="170" t="s">
        <v>47</v>
      </c>
      <c r="B147" s="170"/>
      <c r="C147" s="170"/>
      <c r="D147" s="170"/>
      <c r="E147" s="170"/>
      <c r="F147" s="170"/>
      <c r="G147" s="170"/>
    </row>
    <row r="148" spans="1:8" x14ac:dyDescent="0.5">
      <c r="A148" s="170" t="s">
        <v>229</v>
      </c>
      <c r="B148" s="170"/>
      <c r="C148" s="170"/>
      <c r="D148" s="170"/>
      <c r="E148" s="170"/>
      <c r="F148" s="170"/>
      <c r="G148" s="170"/>
    </row>
    <row r="149" spans="1:8" x14ac:dyDescent="0.5">
      <c r="A149" s="21" t="s">
        <v>37</v>
      </c>
      <c r="B149" s="21" t="s">
        <v>1</v>
      </c>
      <c r="C149" s="21" t="s">
        <v>25</v>
      </c>
      <c r="D149" s="21" t="s">
        <v>48</v>
      </c>
      <c r="E149" s="111" t="s">
        <v>49</v>
      </c>
      <c r="F149" s="21" t="s">
        <v>58</v>
      </c>
      <c r="G149" s="21" t="s">
        <v>50</v>
      </c>
    </row>
    <row r="150" spans="1:8" x14ac:dyDescent="0.5">
      <c r="A150" s="6" t="s">
        <v>51</v>
      </c>
      <c r="B150" s="5">
        <v>230102</v>
      </c>
      <c r="C150" s="2">
        <f>F114</f>
        <v>48030.25</v>
      </c>
      <c r="D150" s="2">
        <v>22130.23</v>
      </c>
      <c r="E150" s="2">
        <v>48030.25</v>
      </c>
      <c r="F150" s="3">
        <f>C150+D150-E150</f>
        <v>22130.229999999996</v>
      </c>
      <c r="G150" s="7"/>
    </row>
    <row r="151" spans="1:8" x14ac:dyDescent="0.5">
      <c r="A151" s="6" t="s">
        <v>52</v>
      </c>
      <c r="B151" s="5">
        <v>230108</v>
      </c>
      <c r="C151" s="2">
        <f t="shared" ref="C151:C158" si="12">F115</f>
        <v>2109115.25</v>
      </c>
      <c r="D151" s="2">
        <v>16750</v>
      </c>
      <c r="E151" s="106">
        <v>37700</v>
      </c>
      <c r="F151" s="3">
        <f t="shared" ref="F151:F152" si="13">C151+D151-E151</f>
        <v>2088165.25</v>
      </c>
      <c r="G151" s="7"/>
      <c r="H151" s="66"/>
    </row>
    <row r="152" spans="1:8" x14ac:dyDescent="0.5">
      <c r="A152" s="6" t="s">
        <v>226</v>
      </c>
      <c r="B152" s="5"/>
      <c r="C152" s="2">
        <f t="shared" si="12"/>
        <v>125000</v>
      </c>
      <c r="D152" s="2"/>
      <c r="E152" s="106">
        <v>125000</v>
      </c>
      <c r="F152" s="3">
        <f t="shared" si="13"/>
        <v>0</v>
      </c>
      <c r="G152" s="7"/>
    </row>
    <row r="153" spans="1:8" x14ac:dyDescent="0.5">
      <c r="A153" s="6" t="s">
        <v>53</v>
      </c>
      <c r="B153" s="5">
        <v>230105</v>
      </c>
      <c r="C153" s="2">
        <f t="shared" si="12"/>
        <v>22824.920000000002</v>
      </c>
      <c r="D153" s="2">
        <f>265.4-0.05</f>
        <v>265.34999999999997</v>
      </c>
      <c r="E153" s="106"/>
      <c r="F153" s="3">
        <f>C153+D153-E153</f>
        <v>23090.27</v>
      </c>
      <c r="G153" s="7"/>
    </row>
    <row r="154" spans="1:8" x14ac:dyDescent="0.5">
      <c r="A154" s="6" t="s">
        <v>57</v>
      </c>
      <c r="B154" s="5">
        <v>230106</v>
      </c>
      <c r="C154" s="2">
        <f t="shared" si="12"/>
        <v>14410.87</v>
      </c>
      <c r="D154" s="2"/>
      <c r="E154" s="106"/>
      <c r="F154" s="3">
        <f t="shared" ref="F154:F162" si="14">C154+D154-E154</f>
        <v>14410.87</v>
      </c>
      <c r="G154" s="7"/>
    </row>
    <row r="155" spans="1:8" x14ac:dyDescent="0.5">
      <c r="A155" s="6" t="s">
        <v>99</v>
      </c>
      <c r="B155" s="5"/>
      <c r="C155" s="2">
        <f t="shared" si="12"/>
        <v>3343273.52</v>
      </c>
      <c r="D155" s="8"/>
      <c r="E155" s="9">
        <v>260000</v>
      </c>
      <c r="F155" s="116">
        <f t="shared" si="14"/>
        <v>3083273.52</v>
      </c>
      <c r="G155" s="81"/>
    </row>
    <row r="156" spans="1:8" x14ac:dyDescent="0.5">
      <c r="A156" s="6" t="s">
        <v>163</v>
      </c>
      <c r="B156" s="107"/>
      <c r="C156" s="2">
        <f t="shared" si="12"/>
        <v>7000</v>
      </c>
      <c r="D156" s="11"/>
      <c r="E156" s="11"/>
      <c r="F156" s="3">
        <f t="shared" si="14"/>
        <v>7000</v>
      </c>
      <c r="G156" s="12"/>
    </row>
    <row r="157" spans="1:8" x14ac:dyDescent="0.5">
      <c r="A157" s="6" t="s">
        <v>219</v>
      </c>
      <c r="B157" s="107"/>
      <c r="C157" s="2">
        <f t="shared" si="12"/>
        <v>9305</v>
      </c>
      <c r="D157" s="11"/>
      <c r="E157" s="11">
        <v>6700</v>
      </c>
      <c r="F157" s="3">
        <f t="shared" si="14"/>
        <v>2605</v>
      </c>
      <c r="G157" s="12"/>
    </row>
    <row r="158" spans="1:8" x14ac:dyDescent="0.5">
      <c r="A158" s="6" t="s">
        <v>220</v>
      </c>
      <c r="B158" s="107"/>
      <c r="C158" s="2">
        <f t="shared" si="12"/>
        <v>31470</v>
      </c>
      <c r="D158" s="11">
        <v>31470</v>
      </c>
      <c r="E158" s="11">
        <v>31470</v>
      </c>
      <c r="F158" s="3">
        <f t="shared" si="14"/>
        <v>31470</v>
      </c>
      <c r="G158" s="12"/>
    </row>
    <row r="159" spans="1:8" x14ac:dyDescent="0.5">
      <c r="A159" s="6" t="s">
        <v>230</v>
      </c>
      <c r="B159" s="10"/>
      <c r="C159" s="2"/>
      <c r="D159" s="11">
        <v>86110.75</v>
      </c>
      <c r="E159" s="11">
        <v>86110.75</v>
      </c>
      <c r="F159" s="3">
        <f t="shared" ref="F159" si="15">C159+D159-E159</f>
        <v>0</v>
      </c>
      <c r="G159" s="12"/>
    </row>
    <row r="160" spans="1:8" x14ac:dyDescent="0.5">
      <c r="A160" s="6" t="s">
        <v>103</v>
      </c>
      <c r="B160" s="10"/>
      <c r="C160" s="2">
        <f t="shared" ref="C160:C167" si="16">F123</f>
        <v>0</v>
      </c>
      <c r="D160" s="11">
        <v>32590</v>
      </c>
      <c r="E160" s="11">
        <v>32590</v>
      </c>
      <c r="F160" s="3">
        <f t="shared" si="14"/>
        <v>0</v>
      </c>
      <c r="G160" s="12"/>
    </row>
    <row r="161" spans="1:7" x14ac:dyDescent="0.5">
      <c r="A161" s="6" t="s">
        <v>104</v>
      </c>
      <c r="B161" s="5"/>
      <c r="C161" s="2">
        <f t="shared" si="16"/>
        <v>0</v>
      </c>
      <c r="D161" s="8">
        <v>38635.99</v>
      </c>
      <c r="E161" s="8">
        <v>38635.99</v>
      </c>
      <c r="F161" s="3">
        <f t="shared" si="14"/>
        <v>0</v>
      </c>
      <c r="G161" s="7"/>
    </row>
    <row r="162" spans="1:7" x14ac:dyDescent="0.5">
      <c r="A162" s="6" t="s">
        <v>90</v>
      </c>
      <c r="B162" s="5"/>
      <c r="C162" s="2">
        <f t="shared" si="16"/>
        <v>0</v>
      </c>
      <c r="D162" s="8">
        <v>68300</v>
      </c>
      <c r="E162" s="8">
        <v>68300</v>
      </c>
      <c r="F162" s="3">
        <f t="shared" si="14"/>
        <v>0</v>
      </c>
      <c r="G162" s="7"/>
    </row>
    <row r="163" spans="1:7" x14ac:dyDescent="0.5">
      <c r="A163" s="6" t="s">
        <v>161</v>
      </c>
      <c r="B163" s="5"/>
      <c r="C163" s="2">
        <f t="shared" si="16"/>
        <v>0</v>
      </c>
      <c r="D163" s="8">
        <v>23800</v>
      </c>
      <c r="E163" s="8">
        <v>23800</v>
      </c>
      <c r="F163" s="3">
        <f>C163+D163-E163</f>
        <v>0</v>
      </c>
      <c r="G163" s="7"/>
    </row>
    <row r="164" spans="1:7" x14ac:dyDescent="0.5">
      <c r="A164" s="6" t="s">
        <v>162</v>
      </c>
      <c r="B164" s="5"/>
      <c r="C164" s="2">
        <f t="shared" si="16"/>
        <v>0</v>
      </c>
      <c r="D164" s="8">
        <v>219926</v>
      </c>
      <c r="E164" s="8">
        <v>219926</v>
      </c>
      <c r="F164" s="3">
        <f>C164+D164-E164</f>
        <v>0</v>
      </c>
      <c r="G164" s="7"/>
    </row>
    <row r="165" spans="1:7" x14ac:dyDescent="0.5">
      <c r="A165" s="6" t="s">
        <v>105</v>
      </c>
      <c r="B165" s="20"/>
      <c r="C165" s="2">
        <f t="shared" si="16"/>
        <v>0</v>
      </c>
      <c r="D165" s="20">
        <v>9400</v>
      </c>
      <c r="E165" s="20">
        <v>9400</v>
      </c>
      <c r="F165" s="3">
        <f>C165+D165-E165</f>
        <v>0</v>
      </c>
      <c r="G165" s="4"/>
    </row>
    <row r="166" spans="1:7" x14ac:dyDescent="0.5">
      <c r="A166" s="6" t="s">
        <v>124</v>
      </c>
      <c r="B166" s="10"/>
      <c r="C166" s="2">
        <f t="shared" si="16"/>
        <v>0</v>
      </c>
      <c r="D166" s="11">
        <v>54080</v>
      </c>
      <c r="E166" s="11">
        <v>54080</v>
      </c>
      <c r="F166" s="3">
        <f>C166+D166-E166</f>
        <v>0</v>
      </c>
      <c r="G166" s="12"/>
    </row>
    <row r="167" spans="1:7" x14ac:dyDescent="0.5">
      <c r="A167" s="6" t="s">
        <v>106</v>
      </c>
      <c r="B167" s="10"/>
      <c r="C167" s="2">
        <f t="shared" si="16"/>
        <v>0</v>
      </c>
      <c r="D167" s="11">
        <v>354</v>
      </c>
      <c r="E167" s="11">
        <v>354</v>
      </c>
      <c r="F167" s="3">
        <f>C167+D167-E167</f>
        <v>0</v>
      </c>
      <c r="G167" s="12"/>
    </row>
    <row r="168" spans="1:7" ht="24" thickBot="1" x14ac:dyDescent="0.55000000000000004">
      <c r="A168" s="42" t="s">
        <v>44</v>
      </c>
      <c r="B168" s="44"/>
      <c r="C168" s="45">
        <f>SUM(C150:C167)</f>
        <v>5710429.8100000005</v>
      </c>
      <c r="D168" s="24">
        <f>SUM(D150:D167)</f>
        <v>603812.31999999995</v>
      </c>
      <c r="E168" s="46">
        <f>SUM(E150:E167)</f>
        <v>1042096.99</v>
      </c>
      <c r="F168" s="47">
        <f>SUM(F150:F167)</f>
        <v>5272145.1400000006</v>
      </c>
      <c r="G168" s="48"/>
    </row>
    <row r="169" spans="1:7" ht="24" thickTop="1" x14ac:dyDescent="0.5">
      <c r="A169" s="15"/>
      <c r="B169" s="16"/>
      <c r="C169" s="16"/>
      <c r="D169" s="16"/>
      <c r="E169" s="16"/>
      <c r="F169" s="16"/>
      <c r="G169" s="17"/>
    </row>
    <row r="170" spans="1:7" x14ac:dyDescent="0.5">
      <c r="A170" s="14"/>
      <c r="B170" s="200" t="s">
        <v>191</v>
      </c>
      <c r="C170" s="200"/>
      <c r="D170" s="200"/>
      <c r="E170" s="200"/>
      <c r="F170" s="14"/>
      <c r="G170" s="14"/>
    </row>
    <row r="171" spans="1:7" x14ac:dyDescent="0.5">
      <c r="A171" s="199" t="s">
        <v>150</v>
      </c>
      <c r="B171" s="199"/>
      <c r="C171" s="199"/>
      <c r="D171" s="199"/>
      <c r="E171" s="199"/>
      <c r="F171" s="199"/>
      <c r="G171" s="199"/>
    </row>
    <row r="172" spans="1:7" x14ac:dyDescent="0.5">
      <c r="A172" s="199" t="s">
        <v>151</v>
      </c>
      <c r="B172" s="199"/>
      <c r="C172" s="199"/>
      <c r="D172" s="199"/>
      <c r="E172" s="199"/>
      <c r="F172" s="199"/>
      <c r="G172" s="199"/>
    </row>
    <row r="173" spans="1:7" x14ac:dyDescent="0.5">
      <c r="A173" s="14"/>
      <c r="B173" s="14"/>
      <c r="C173" s="14"/>
      <c r="D173" s="14"/>
      <c r="E173" s="14"/>
      <c r="F173" s="14"/>
      <c r="G173" s="14"/>
    </row>
    <row r="174" spans="1:7" x14ac:dyDescent="0.5">
      <c r="A174" s="14"/>
      <c r="B174" s="199" t="s">
        <v>192</v>
      </c>
      <c r="C174" s="199"/>
      <c r="D174" s="199"/>
      <c r="E174" s="199"/>
      <c r="F174" s="14"/>
      <c r="G174" s="14"/>
    </row>
    <row r="175" spans="1:7" x14ac:dyDescent="0.5">
      <c r="A175" s="199" t="s">
        <v>152</v>
      </c>
      <c r="B175" s="199"/>
      <c r="C175" s="199"/>
      <c r="D175" s="199"/>
      <c r="E175" s="199"/>
      <c r="F175" s="199"/>
      <c r="G175" s="199"/>
    </row>
    <row r="176" spans="1:7" x14ac:dyDescent="0.5">
      <c r="A176" s="199" t="s">
        <v>153</v>
      </c>
      <c r="B176" s="199"/>
      <c r="C176" s="199"/>
      <c r="D176" s="199"/>
      <c r="E176" s="199"/>
      <c r="F176" s="199"/>
      <c r="G176" s="199"/>
    </row>
    <row r="177" spans="1:7" x14ac:dyDescent="0.5">
      <c r="A177" s="14"/>
      <c r="B177" s="14"/>
      <c r="C177" s="14"/>
      <c r="D177" s="14"/>
      <c r="E177" s="14"/>
      <c r="F177" s="14"/>
      <c r="G177" s="14"/>
    </row>
    <row r="178" spans="1:7" x14ac:dyDescent="0.5">
      <c r="A178" s="14"/>
      <c r="B178" s="199" t="s">
        <v>193</v>
      </c>
      <c r="C178" s="199"/>
      <c r="D178" s="199"/>
      <c r="E178" s="199"/>
      <c r="F178" s="14"/>
      <c r="G178" s="14"/>
    </row>
    <row r="179" spans="1:7" x14ac:dyDescent="0.5">
      <c r="A179" s="199" t="s">
        <v>208</v>
      </c>
      <c r="B179" s="199"/>
      <c r="C179" s="199"/>
      <c r="D179" s="199"/>
      <c r="E179" s="199"/>
      <c r="F179" s="199"/>
      <c r="G179" s="199"/>
    </row>
    <row r="180" spans="1:7" x14ac:dyDescent="0.5">
      <c r="A180" s="199" t="s">
        <v>209</v>
      </c>
      <c r="B180" s="199"/>
      <c r="C180" s="199"/>
      <c r="D180" s="199"/>
      <c r="E180" s="199"/>
      <c r="F180" s="199"/>
      <c r="G180" s="199"/>
    </row>
    <row r="181" spans="1:7" x14ac:dyDescent="0.5">
      <c r="A181" s="126"/>
      <c r="B181" s="126"/>
      <c r="C181" s="126"/>
      <c r="D181" s="126"/>
      <c r="E181" s="126"/>
      <c r="F181" s="126"/>
      <c r="G181" s="126"/>
    </row>
    <row r="182" spans="1:7" x14ac:dyDescent="0.5">
      <c r="A182" s="170" t="s">
        <v>117</v>
      </c>
      <c r="B182" s="170"/>
      <c r="C182" s="170"/>
      <c r="D182" s="170"/>
      <c r="E182" s="170"/>
      <c r="F182" s="170"/>
      <c r="G182" s="170"/>
    </row>
    <row r="183" spans="1:7" x14ac:dyDescent="0.5">
      <c r="A183" s="170" t="s">
        <v>47</v>
      </c>
      <c r="B183" s="170"/>
      <c r="C183" s="170"/>
      <c r="D183" s="170"/>
      <c r="E183" s="170"/>
      <c r="F183" s="170"/>
      <c r="G183" s="170"/>
    </row>
    <row r="184" spans="1:7" x14ac:dyDescent="0.5">
      <c r="A184" s="170" t="s">
        <v>233</v>
      </c>
      <c r="B184" s="170"/>
      <c r="C184" s="170"/>
      <c r="D184" s="170"/>
      <c r="E184" s="170"/>
      <c r="F184" s="170"/>
      <c r="G184" s="170"/>
    </row>
    <row r="185" spans="1:7" x14ac:dyDescent="0.5">
      <c r="A185" s="21" t="s">
        <v>37</v>
      </c>
      <c r="B185" s="21" t="s">
        <v>1</v>
      </c>
      <c r="C185" s="21" t="s">
        <v>25</v>
      </c>
      <c r="D185" s="21" t="s">
        <v>48</v>
      </c>
      <c r="E185" s="125" t="s">
        <v>49</v>
      </c>
      <c r="F185" s="21" t="s">
        <v>58</v>
      </c>
      <c r="G185" s="21" t="s">
        <v>50</v>
      </c>
    </row>
    <row r="186" spans="1:7" x14ac:dyDescent="0.5">
      <c r="A186" s="6" t="s">
        <v>51</v>
      </c>
      <c r="B186" s="5">
        <v>230102</v>
      </c>
      <c r="C186" s="2">
        <f t="shared" ref="C186:C194" si="17">F150</f>
        <v>22130.229999999996</v>
      </c>
      <c r="D186" s="2">
        <v>17491.009999999998</v>
      </c>
      <c r="E186" s="2">
        <v>22130.23</v>
      </c>
      <c r="F186" s="3">
        <f>C186+D186-E186</f>
        <v>17491.009999999991</v>
      </c>
      <c r="G186" s="7"/>
    </row>
    <row r="187" spans="1:7" x14ac:dyDescent="0.5">
      <c r="A187" s="6" t="s">
        <v>52</v>
      </c>
      <c r="B187" s="5">
        <v>230108</v>
      </c>
      <c r="C187" s="2">
        <f t="shared" si="17"/>
        <v>2088165.25</v>
      </c>
      <c r="D187" s="2">
        <v>65325</v>
      </c>
      <c r="E187" s="117">
        <v>122990</v>
      </c>
      <c r="F187" s="3">
        <f t="shared" ref="F187:F188" si="18">C187+D187-E187</f>
        <v>2030500.25</v>
      </c>
      <c r="G187" s="7"/>
    </row>
    <row r="188" spans="1:7" x14ac:dyDescent="0.5">
      <c r="A188" s="6" t="s">
        <v>226</v>
      </c>
      <c r="B188" s="5"/>
      <c r="C188" s="2">
        <f t="shared" si="17"/>
        <v>0</v>
      </c>
      <c r="D188" s="2">
        <v>267300</v>
      </c>
      <c r="E188" s="117">
        <v>205450</v>
      </c>
      <c r="F188" s="3">
        <f t="shared" si="18"/>
        <v>61850</v>
      </c>
      <c r="G188" s="7"/>
    </row>
    <row r="189" spans="1:7" x14ac:dyDescent="0.5">
      <c r="A189" s="6" t="s">
        <v>53</v>
      </c>
      <c r="B189" s="5">
        <v>230105</v>
      </c>
      <c r="C189" s="2">
        <f t="shared" si="17"/>
        <v>23090.27</v>
      </c>
      <c r="D189" s="2">
        <v>395.4</v>
      </c>
      <c r="E189" s="117"/>
      <c r="F189" s="3">
        <f>C189+D189-E189</f>
        <v>23485.670000000002</v>
      </c>
      <c r="G189" s="7"/>
    </row>
    <row r="190" spans="1:7" x14ac:dyDescent="0.5">
      <c r="A190" s="6" t="s">
        <v>57</v>
      </c>
      <c r="B190" s="5">
        <v>230106</v>
      </c>
      <c r="C190" s="2">
        <f t="shared" si="17"/>
        <v>14410.87</v>
      </c>
      <c r="D190" s="2"/>
      <c r="E190" s="117"/>
      <c r="F190" s="3">
        <f t="shared" ref="F190:F197" si="19">C190+D190-E190</f>
        <v>14410.87</v>
      </c>
      <c r="G190" s="7"/>
    </row>
    <row r="191" spans="1:7" x14ac:dyDescent="0.5">
      <c r="A191" s="6" t="s">
        <v>99</v>
      </c>
      <c r="B191" s="5"/>
      <c r="C191" s="2">
        <f t="shared" si="17"/>
        <v>3083273.52</v>
      </c>
      <c r="D191" s="8">
        <v>579442.5</v>
      </c>
      <c r="E191" s="9">
        <f>97084.11+915.89+200000+20000+280000</f>
        <v>598000</v>
      </c>
      <c r="F191" s="116">
        <f t="shared" si="19"/>
        <v>3064716.02</v>
      </c>
      <c r="G191" s="81"/>
    </row>
    <row r="192" spans="1:7" x14ac:dyDescent="0.5">
      <c r="A192" s="6" t="s">
        <v>163</v>
      </c>
      <c r="B192" s="118"/>
      <c r="C192" s="2">
        <f t="shared" si="17"/>
        <v>7000</v>
      </c>
      <c r="D192" s="11"/>
      <c r="E192" s="11"/>
      <c r="F192" s="3">
        <f t="shared" si="19"/>
        <v>7000</v>
      </c>
      <c r="G192" s="12"/>
    </row>
    <row r="193" spans="1:7" x14ac:dyDescent="0.5">
      <c r="A193" s="6" t="s">
        <v>219</v>
      </c>
      <c r="B193" s="118"/>
      <c r="C193" s="2">
        <f t="shared" si="17"/>
        <v>2605</v>
      </c>
      <c r="D193" s="11">
        <v>1700</v>
      </c>
      <c r="E193" s="11"/>
      <c r="F193" s="3">
        <f t="shared" si="19"/>
        <v>4305</v>
      </c>
      <c r="G193" s="12"/>
    </row>
    <row r="194" spans="1:7" x14ac:dyDescent="0.5">
      <c r="A194" s="6" t="s">
        <v>220</v>
      </c>
      <c r="B194" s="118"/>
      <c r="C194" s="2">
        <f t="shared" si="17"/>
        <v>31470</v>
      </c>
      <c r="D194" s="11">
        <v>31486</v>
      </c>
      <c r="E194" s="11">
        <v>31470</v>
      </c>
      <c r="F194" s="3">
        <f t="shared" si="19"/>
        <v>31486</v>
      </c>
      <c r="G194" s="12"/>
    </row>
    <row r="195" spans="1:7" x14ac:dyDescent="0.5">
      <c r="A195" s="6" t="s">
        <v>103</v>
      </c>
      <c r="B195" s="10"/>
      <c r="C195" s="2">
        <f t="shared" ref="C195:C202" si="20">F160</f>
        <v>0</v>
      </c>
      <c r="D195" s="11">
        <v>33905.5</v>
      </c>
      <c r="E195" s="11">
        <v>33905.5</v>
      </c>
      <c r="F195" s="3">
        <f t="shared" si="19"/>
        <v>0</v>
      </c>
      <c r="G195" s="12"/>
    </row>
    <row r="196" spans="1:7" x14ac:dyDescent="0.5">
      <c r="A196" s="6" t="s">
        <v>104</v>
      </c>
      <c r="B196" s="5"/>
      <c r="C196" s="2">
        <f t="shared" si="20"/>
        <v>0</v>
      </c>
      <c r="D196" s="8">
        <v>38132.18</v>
      </c>
      <c r="E196" s="8">
        <v>38132.18</v>
      </c>
      <c r="F196" s="3">
        <f t="shared" si="19"/>
        <v>0</v>
      </c>
      <c r="G196" s="7"/>
    </row>
    <row r="197" spans="1:7" x14ac:dyDescent="0.5">
      <c r="A197" s="6" t="s">
        <v>90</v>
      </c>
      <c r="B197" s="5"/>
      <c r="C197" s="2">
        <f t="shared" si="20"/>
        <v>0</v>
      </c>
      <c r="D197" s="8">
        <v>68300</v>
      </c>
      <c r="E197" s="8">
        <v>68300</v>
      </c>
      <c r="F197" s="3">
        <f t="shared" si="19"/>
        <v>0</v>
      </c>
      <c r="G197" s="7"/>
    </row>
    <row r="198" spans="1:7" x14ac:dyDescent="0.5">
      <c r="A198" s="6" t="s">
        <v>161</v>
      </c>
      <c r="B198" s="5"/>
      <c r="C198" s="2">
        <f t="shared" si="20"/>
        <v>0</v>
      </c>
      <c r="D198" s="8">
        <v>23800</v>
      </c>
      <c r="E198" s="8">
        <v>23800</v>
      </c>
      <c r="F198" s="3">
        <f t="shared" ref="F198:F203" si="21">C198+D198-E198</f>
        <v>0</v>
      </c>
      <c r="G198" s="7"/>
    </row>
    <row r="199" spans="1:7" x14ac:dyDescent="0.5">
      <c r="A199" s="6" t="s">
        <v>162</v>
      </c>
      <c r="B199" s="5"/>
      <c r="C199" s="2">
        <f t="shared" si="20"/>
        <v>0</v>
      </c>
      <c r="D199" s="8">
        <v>231772</v>
      </c>
      <c r="E199" s="8">
        <v>231772</v>
      </c>
      <c r="F199" s="3">
        <f t="shared" si="21"/>
        <v>0</v>
      </c>
      <c r="G199" s="7"/>
    </row>
    <row r="200" spans="1:7" x14ac:dyDescent="0.5">
      <c r="A200" s="6" t="s">
        <v>105</v>
      </c>
      <c r="B200" s="20"/>
      <c r="C200" s="2">
        <f t="shared" si="20"/>
        <v>0</v>
      </c>
      <c r="D200" s="20">
        <v>12800</v>
      </c>
      <c r="E200" s="20">
        <v>12800</v>
      </c>
      <c r="F200" s="3">
        <f t="shared" si="21"/>
        <v>0</v>
      </c>
      <c r="G200" s="4"/>
    </row>
    <row r="201" spans="1:7" x14ac:dyDescent="0.5">
      <c r="A201" s="6" t="s">
        <v>124</v>
      </c>
      <c r="B201" s="10"/>
      <c r="C201" s="2">
        <f t="shared" si="20"/>
        <v>0</v>
      </c>
      <c r="D201" s="11">
        <v>54080</v>
      </c>
      <c r="E201" s="11">
        <v>54080</v>
      </c>
      <c r="F201" s="3">
        <f t="shared" si="21"/>
        <v>0</v>
      </c>
      <c r="G201" s="12"/>
    </row>
    <row r="202" spans="1:7" x14ac:dyDescent="0.5">
      <c r="A202" s="6" t="s">
        <v>106</v>
      </c>
      <c r="B202" s="10"/>
      <c r="C202" s="2">
        <f t="shared" si="20"/>
        <v>0</v>
      </c>
      <c r="D202" s="11">
        <v>180</v>
      </c>
      <c r="E202" s="11">
        <v>180</v>
      </c>
      <c r="F202" s="3">
        <f t="shared" si="21"/>
        <v>0</v>
      </c>
      <c r="G202" s="12"/>
    </row>
    <row r="203" spans="1:7" x14ac:dyDescent="0.5">
      <c r="A203" s="127" t="s">
        <v>236</v>
      </c>
      <c r="B203" s="128"/>
      <c r="C203" s="129"/>
      <c r="D203" s="11">
        <v>3633</v>
      </c>
      <c r="E203" s="11"/>
      <c r="F203" s="3">
        <f t="shared" si="21"/>
        <v>3633</v>
      </c>
      <c r="G203" s="6"/>
    </row>
    <row r="204" spans="1:7" ht="24" thickBot="1" x14ac:dyDescent="0.55000000000000004">
      <c r="A204" s="42" t="s">
        <v>44</v>
      </c>
      <c r="B204" s="44"/>
      <c r="C204" s="45">
        <f>SUM(C186:C202)</f>
        <v>5272145.1400000006</v>
      </c>
      <c r="D204" s="24">
        <f>SUM(D186:D203)</f>
        <v>1429742.59</v>
      </c>
      <c r="E204" s="24">
        <f t="shared" ref="E204:F204" si="22">SUM(E186:E203)</f>
        <v>1443009.91</v>
      </c>
      <c r="F204" s="24">
        <f t="shared" si="22"/>
        <v>5258877.82</v>
      </c>
      <c r="G204" s="48"/>
    </row>
    <row r="205" spans="1:7" ht="24" thickTop="1" x14ac:dyDescent="0.5">
      <c r="A205" s="15"/>
      <c r="B205" s="16"/>
      <c r="C205" s="16"/>
      <c r="D205" s="16"/>
      <c r="E205" s="16"/>
      <c r="F205" s="16"/>
      <c r="G205" s="17"/>
    </row>
    <row r="206" spans="1:7" x14ac:dyDescent="0.5">
      <c r="A206" s="14"/>
      <c r="B206" s="200" t="s">
        <v>191</v>
      </c>
      <c r="C206" s="200"/>
      <c r="D206" s="200"/>
      <c r="E206" s="200"/>
      <c r="F206" s="14"/>
      <c r="G206" s="14"/>
    </row>
    <row r="207" spans="1:7" x14ac:dyDescent="0.5">
      <c r="A207" s="199" t="s">
        <v>150</v>
      </c>
      <c r="B207" s="199"/>
      <c r="C207" s="199"/>
      <c r="D207" s="199"/>
      <c r="E207" s="199"/>
      <c r="F207" s="199"/>
      <c r="G207" s="199"/>
    </row>
    <row r="208" spans="1:7" x14ac:dyDescent="0.5">
      <c r="A208" s="199" t="s">
        <v>151</v>
      </c>
      <c r="B208" s="199"/>
      <c r="C208" s="199"/>
      <c r="D208" s="199"/>
      <c r="E208" s="199"/>
      <c r="F208" s="199"/>
      <c r="G208" s="199"/>
    </row>
    <row r="209" spans="1:7" x14ac:dyDescent="0.5">
      <c r="A209" s="14"/>
      <c r="B209" s="14"/>
      <c r="C209" s="14"/>
      <c r="D209" s="14"/>
      <c r="E209" s="14"/>
      <c r="F209" s="14"/>
      <c r="G209" s="14"/>
    </row>
    <row r="210" spans="1:7" x14ac:dyDescent="0.5">
      <c r="A210" s="14"/>
      <c r="B210" s="199" t="s">
        <v>192</v>
      </c>
      <c r="C210" s="199"/>
      <c r="D210" s="199"/>
      <c r="E210" s="199"/>
      <c r="F210" s="14"/>
      <c r="G210" s="14"/>
    </row>
    <row r="211" spans="1:7" x14ac:dyDescent="0.5">
      <c r="A211" s="199" t="s">
        <v>152</v>
      </c>
      <c r="B211" s="199"/>
      <c r="C211" s="199"/>
      <c r="D211" s="199"/>
      <c r="E211" s="199"/>
      <c r="F211" s="199"/>
      <c r="G211" s="199"/>
    </row>
    <row r="212" spans="1:7" x14ac:dyDescent="0.5">
      <c r="A212" s="199" t="s">
        <v>153</v>
      </c>
      <c r="B212" s="199"/>
      <c r="C212" s="199"/>
      <c r="D212" s="199"/>
      <c r="E212" s="199"/>
      <c r="F212" s="199"/>
      <c r="G212" s="199"/>
    </row>
    <row r="213" spans="1:7" x14ac:dyDescent="0.5">
      <c r="A213" s="14"/>
      <c r="B213" s="14"/>
      <c r="C213" s="14"/>
      <c r="D213" s="14"/>
      <c r="E213" s="14"/>
      <c r="F213" s="14"/>
      <c r="G213" s="14"/>
    </row>
    <row r="214" spans="1:7" x14ac:dyDescent="0.5">
      <c r="A214" s="14"/>
      <c r="B214" s="199" t="s">
        <v>193</v>
      </c>
      <c r="C214" s="199"/>
      <c r="D214" s="199"/>
      <c r="E214" s="199"/>
      <c r="F214" s="14"/>
      <c r="G214" s="14"/>
    </row>
    <row r="215" spans="1:7" x14ac:dyDescent="0.5">
      <c r="A215" s="199" t="s">
        <v>208</v>
      </c>
      <c r="B215" s="199"/>
      <c r="C215" s="199"/>
      <c r="D215" s="199"/>
      <c r="E215" s="199"/>
      <c r="F215" s="199"/>
      <c r="G215" s="199"/>
    </row>
    <row r="216" spans="1:7" x14ac:dyDescent="0.5">
      <c r="A216" s="199" t="s">
        <v>209</v>
      </c>
      <c r="B216" s="199"/>
      <c r="C216" s="199"/>
      <c r="D216" s="199"/>
      <c r="E216" s="199"/>
      <c r="F216" s="199"/>
      <c r="G216" s="199"/>
    </row>
  </sheetData>
  <mergeCells count="72">
    <mergeCell ref="A215:G215"/>
    <mergeCell ref="A216:G216"/>
    <mergeCell ref="A208:G208"/>
    <mergeCell ref="B210:E210"/>
    <mergeCell ref="A211:G211"/>
    <mergeCell ref="A212:G212"/>
    <mergeCell ref="B214:E214"/>
    <mergeCell ref="A182:G182"/>
    <mergeCell ref="A183:G183"/>
    <mergeCell ref="A184:G184"/>
    <mergeCell ref="B206:E206"/>
    <mergeCell ref="A207:G207"/>
    <mergeCell ref="A103:G103"/>
    <mergeCell ref="A104:G104"/>
    <mergeCell ref="A96:G96"/>
    <mergeCell ref="B98:E98"/>
    <mergeCell ref="A99:G99"/>
    <mergeCell ref="A100:G100"/>
    <mergeCell ref="B102:E102"/>
    <mergeCell ref="A74:G74"/>
    <mergeCell ref="A75:G75"/>
    <mergeCell ref="A76:G76"/>
    <mergeCell ref="B94:E94"/>
    <mergeCell ref="A95:G95"/>
    <mergeCell ref="B31:E31"/>
    <mergeCell ref="A32:G32"/>
    <mergeCell ref="A33:G33"/>
    <mergeCell ref="A3:G3"/>
    <mergeCell ref="A4:G4"/>
    <mergeCell ref="A5:G5"/>
    <mergeCell ref="B23:E23"/>
    <mergeCell ref="A24:G24"/>
    <mergeCell ref="A25:G25"/>
    <mergeCell ref="B27:E27"/>
    <mergeCell ref="A28:G28"/>
    <mergeCell ref="A29:G29"/>
    <mergeCell ref="A37:G37"/>
    <mergeCell ref="A38:G38"/>
    <mergeCell ref="A39:G39"/>
    <mergeCell ref="B57:E57"/>
    <mergeCell ref="A58:G58"/>
    <mergeCell ref="A66:G66"/>
    <mergeCell ref="A67:G67"/>
    <mergeCell ref="A59:G59"/>
    <mergeCell ref="B61:E61"/>
    <mergeCell ref="A62:G62"/>
    <mergeCell ref="A63:G63"/>
    <mergeCell ref="B65:E65"/>
    <mergeCell ref="A110:G110"/>
    <mergeCell ref="A111:G111"/>
    <mergeCell ref="A112:G112"/>
    <mergeCell ref="B133:E133"/>
    <mergeCell ref="A134:G134"/>
    <mergeCell ref="A142:G142"/>
    <mergeCell ref="A143:G143"/>
    <mergeCell ref="A135:G135"/>
    <mergeCell ref="B137:E137"/>
    <mergeCell ref="A138:G138"/>
    <mergeCell ref="A139:G139"/>
    <mergeCell ref="B141:E141"/>
    <mergeCell ref="A146:G146"/>
    <mergeCell ref="A147:G147"/>
    <mergeCell ref="A148:G148"/>
    <mergeCell ref="B170:E170"/>
    <mergeCell ref="A171:G171"/>
    <mergeCell ref="A179:G179"/>
    <mergeCell ref="A180:G180"/>
    <mergeCell ref="A172:G172"/>
    <mergeCell ref="B174:E174"/>
    <mergeCell ref="A175:G175"/>
    <mergeCell ref="A176:G176"/>
    <mergeCell ref="B178:E178"/>
  </mergeCells>
  <phoneticPr fontId="2" type="noConversion"/>
  <pageMargins left="0.39370078740157483" right="7.874015748031496E-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งบทดลอง</vt:lpstr>
      <vt:lpstr>งบรับจ่ายเงินสด  57</vt:lpstr>
      <vt:lpstr>ใบต่อ  57</vt:lpstr>
      <vt:lpstr>รายละเอียด(หมายเหตุ2)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Nong</cp:lastModifiedBy>
  <cp:lastPrinted>2014-04-06T03:47:11Z</cp:lastPrinted>
  <dcterms:created xsi:type="dcterms:W3CDTF">2005-01-27T06:24:37Z</dcterms:created>
  <dcterms:modified xsi:type="dcterms:W3CDTF">2014-04-08T01:43:38Z</dcterms:modified>
</cp:coreProperties>
</file>