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65" yWindow="30" windowWidth="1980" windowHeight="1170"/>
  </bookViews>
  <sheets>
    <sheet name="งบทดลอง(ใหม่)" sheetId="40" r:id="rId1"/>
    <sheet name="งบรับจ่ายเงินสด  55" sheetId="7" r:id="rId2"/>
    <sheet name="ใบต่อ  55" sheetId="8" r:id="rId3"/>
    <sheet name="รายละเอียด(หมายเหตุ2)" sheetId="11" r:id="rId4"/>
    <sheet name="ลน ภาษี ก.พ.57" sheetId="80" r:id="rId5"/>
    <sheet name="ประกันสัญญา ก.พ.57" sheetId="81" r:id="rId6"/>
    <sheet name="Sheet1" sheetId="82" r:id="rId7"/>
  </sheets>
  <calcPr calcId="144525"/>
</workbook>
</file>

<file path=xl/calcChain.xml><?xml version="1.0" encoding="utf-8"?>
<calcChain xmlns="http://schemas.openxmlformats.org/spreadsheetml/2006/main">
  <c r="G204" i="7" l="1"/>
  <c r="G220" i="8"/>
  <c r="G219" i="8"/>
  <c r="I184" i="7"/>
  <c r="I185" i="7"/>
  <c r="I188" i="7"/>
  <c r="I228" i="7"/>
  <c r="H5" i="81"/>
  <c r="E130" i="81"/>
  <c r="E173" i="81" l="1"/>
  <c r="G188" i="7"/>
  <c r="H272" i="80"/>
  <c r="D153" i="11"/>
  <c r="H273" i="80"/>
  <c r="F272" i="80"/>
  <c r="D272" i="80"/>
  <c r="D46" i="80"/>
  <c r="F34" i="80"/>
  <c r="D34" i="80"/>
  <c r="F14" i="80"/>
  <c r="D14" i="80"/>
  <c r="G208" i="8"/>
  <c r="G203" i="7"/>
  <c r="G207" i="8"/>
  <c r="G206" i="8"/>
  <c r="F273" i="80" l="1"/>
  <c r="D273" i="80"/>
  <c r="L46" i="80"/>
  <c r="L47" i="80" s="1"/>
  <c r="C229" i="40"/>
  <c r="C227" i="40"/>
  <c r="G228" i="8"/>
  <c r="G227" i="8"/>
  <c r="C236" i="40"/>
  <c r="C233" i="8"/>
  <c r="C196" i="7"/>
  <c r="C213" i="7"/>
  <c r="C215" i="7"/>
  <c r="C223" i="8"/>
  <c r="C221" i="8"/>
  <c r="D221" i="8" s="1"/>
  <c r="C220" i="8"/>
  <c r="D220" i="8" s="1"/>
  <c r="C219" i="8"/>
  <c r="D219" i="8" s="1"/>
  <c r="C218" i="8"/>
  <c r="D218" i="8" s="1"/>
  <c r="C217" i="8"/>
  <c r="C215" i="8"/>
  <c r="A212" i="8"/>
  <c r="A211" i="8"/>
  <c r="A210" i="8"/>
  <c r="A208" i="8"/>
  <c r="A207" i="8"/>
  <c r="A206" i="8"/>
  <c r="A205" i="8"/>
  <c r="A204" i="8"/>
  <c r="G214" i="8"/>
  <c r="F159" i="11"/>
  <c r="E168" i="11"/>
  <c r="G226" i="8" s="1"/>
  <c r="D168" i="11"/>
  <c r="G202" i="7" s="1"/>
  <c r="G200" i="7"/>
  <c r="C200" i="7" s="1"/>
  <c r="G198" i="7"/>
  <c r="C198" i="7" s="1"/>
  <c r="G197" i="7"/>
  <c r="I215" i="7"/>
  <c r="I200" i="7"/>
  <c r="J194" i="7"/>
  <c r="A192" i="7"/>
  <c r="G192" i="7"/>
  <c r="C243" i="40"/>
  <c r="G140" i="7"/>
  <c r="G144" i="7"/>
  <c r="G216" i="7" l="1"/>
  <c r="G235" i="8"/>
  <c r="I198" i="7"/>
  <c r="A214" i="8"/>
  <c r="I216" i="7"/>
  <c r="J216" i="7" s="1"/>
  <c r="G217" i="7"/>
  <c r="I194" i="7"/>
  <c r="J196" i="7" s="1"/>
  <c r="G183" i="8"/>
  <c r="G236" i="8" l="1"/>
  <c r="D115" i="11"/>
  <c r="D116" i="11"/>
  <c r="F116" i="11" s="1"/>
  <c r="C152" i="11" s="1"/>
  <c r="F152" i="11" s="1"/>
  <c r="G159" i="7"/>
  <c r="G154" i="8"/>
  <c r="C182" i="40"/>
  <c r="C235" i="40" s="1"/>
  <c r="C184" i="40"/>
  <c r="C237" i="40" s="1"/>
  <c r="G158" i="8"/>
  <c r="J159" i="8"/>
  <c r="A163" i="8"/>
  <c r="A162" i="8"/>
  <c r="A161" i="8"/>
  <c r="A159" i="8"/>
  <c r="A158" i="8"/>
  <c r="A157" i="8"/>
  <c r="A156" i="8"/>
  <c r="A155" i="8"/>
  <c r="A165" i="8" s="1"/>
  <c r="A113" i="8"/>
  <c r="A112" i="8"/>
  <c r="A111" i="8"/>
  <c r="A109" i="8"/>
  <c r="A108" i="8"/>
  <c r="A107" i="8"/>
  <c r="A106" i="8"/>
  <c r="A105" i="8"/>
  <c r="A115" i="8" s="1"/>
  <c r="A64" i="8"/>
  <c r="A63" i="8"/>
  <c r="A62" i="8"/>
  <c r="A60" i="8"/>
  <c r="A59" i="8"/>
  <c r="A58" i="8"/>
  <c r="A57" i="8"/>
  <c r="A56" i="8"/>
  <c r="A66" i="8" s="1"/>
  <c r="F121" i="11"/>
  <c r="C157" i="11" s="1"/>
  <c r="F157" i="11" s="1"/>
  <c r="F122" i="11"/>
  <c r="C158" i="11" s="1"/>
  <c r="F158" i="11" s="1"/>
  <c r="E131" i="11"/>
  <c r="G177" i="8" s="1"/>
  <c r="D131" i="11"/>
  <c r="G158" i="7" s="1"/>
  <c r="G146" i="7"/>
  <c r="G142" i="7"/>
  <c r="G141" i="7"/>
  <c r="C155" i="7"/>
  <c r="C199" i="7" s="1"/>
  <c r="A148" i="7"/>
  <c r="A104" i="7"/>
  <c r="G238" i="8" l="1"/>
  <c r="G172" i="7"/>
  <c r="G148" i="7"/>
  <c r="G173" i="7" l="1"/>
  <c r="G115" i="7"/>
  <c r="G108" i="8"/>
  <c r="G116" i="7"/>
  <c r="G117" i="8"/>
  <c r="G106" i="8"/>
  <c r="G104" i="8"/>
  <c r="G105" i="8"/>
  <c r="C124" i="40"/>
  <c r="C174" i="40" s="1"/>
  <c r="C225" i="40" s="1"/>
  <c r="C123" i="40"/>
  <c r="C173" i="40" s="1"/>
  <c r="C224" i="40" s="1"/>
  <c r="C106" i="40"/>
  <c r="C156" i="40" s="1"/>
  <c r="C207" i="40" s="1"/>
  <c r="E138" i="40"/>
  <c r="E188" i="40" s="1"/>
  <c r="E241" i="40" s="1"/>
  <c r="C129" i="40"/>
  <c r="C179" i="40" s="1"/>
  <c r="C232" i="40" s="1"/>
  <c r="C133" i="40"/>
  <c r="C135" i="40"/>
  <c r="C185" i="40" s="1"/>
  <c r="C136" i="40"/>
  <c r="C186" i="40" s="1"/>
  <c r="C238" i="40" s="1"/>
  <c r="C137" i="40"/>
  <c r="C187" i="40" s="1"/>
  <c r="C239" i="40" s="1"/>
  <c r="C138" i="40"/>
  <c r="C188" i="40" s="1"/>
  <c r="C240" i="40" s="1"/>
  <c r="C139" i="40"/>
  <c r="C189" i="40" s="1"/>
  <c r="C241" i="40" s="1"/>
  <c r="C140" i="40"/>
  <c r="C190" i="40" s="1"/>
  <c r="C242" i="40" s="1"/>
  <c r="C141" i="40"/>
  <c r="C192" i="40" s="1"/>
  <c r="C244" i="40" s="1"/>
  <c r="C142" i="40"/>
  <c r="C193" i="40" s="1"/>
  <c r="C245" i="40" s="1"/>
  <c r="C143" i="40"/>
  <c r="C194" i="40" s="1"/>
  <c r="C246" i="40" s="1"/>
  <c r="C109" i="7"/>
  <c r="C107" i="7"/>
  <c r="C151" i="7" s="1"/>
  <c r="C195" i="7" s="1"/>
  <c r="G102" i="7"/>
  <c r="G98" i="7"/>
  <c r="G97" i="7"/>
  <c r="E92" i="11"/>
  <c r="G127" i="8" s="1"/>
  <c r="G135" i="8" s="1"/>
  <c r="D92" i="11"/>
  <c r="G114" i="7" s="1"/>
  <c r="C77" i="40" l="1"/>
  <c r="C128" i="40" s="1"/>
  <c r="C178" i="40" s="1"/>
  <c r="C231" i="40" s="1"/>
  <c r="G59" i="8"/>
  <c r="D75" i="8"/>
  <c r="D123" i="8" s="1"/>
  <c r="C81" i="7"/>
  <c r="C124" i="7" s="1"/>
  <c r="C82" i="7"/>
  <c r="C125" i="7" s="1"/>
  <c r="C168" i="7" s="1"/>
  <c r="C212" i="7" s="1"/>
  <c r="G61" i="8"/>
  <c r="C65" i="40"/>
  <c r="C115" i="40" s="1"/>
  <c r="C165" i="40" s="1"/>
  <c r="C216" i="40" s="1"/>
  <c r="C79" i="40"/>
  <c r="C130" i="40" s="1"/>
  <c r="C180" i="40" s="1"/>
  <c r="C233" i="40" s="1"/>
  <c r="C76" i="40"/>
  <c r="C127" i="40" s="1"/>
  <c r="C177" i="40" s="1"/>
  <c r="C230" i="40" s="1"/>
  <c r="C75" i="40"/>
  <c r="C126" i="40" s="1"/>
  <c r="C176" i="40" s="1"/>
  <c r="C228" i="40" s="1"/>
  <c r="C74" i="40"/>
  <c r="C125" i="40" s="1"/>
  <c r="C175" i="40" s="1"/>
  <c r="C226" i="40" s="1"/>
  <c r="C80" i="40"/>
  <c r="C131" i="40" s="1"/>
  <c r="C181" i="40" s="1"/>
  <c r="C234" i="40" s="1"/>
  <c r="E55" i="11"/>
  <c r="G79" i="8" s="1"/>
  <c r="D55" i="11"/>
  <c r="G71" i="7" s="1"/>
  <c r="C70" i="7"/>
  <c r="C113" i="7" s="1"/>
  <c r="C157" i="7" s="1"/>
  <c r="C201" i="7" s="1"/>
  <c r="G60" i="7"/>
  <c r="G58" i="7"/>
  <c r="G56" i="7"/>
  <c r="G55" i="7"/>
  <c r="G54" i="7"/>
  <c r="C64" i="7"/>
  <c r="C106" i="7" s="1"/>
  <c r="C150" i="7" s="1"/>
  <c r="C194" i="7" s="1"/>
  <c r="A62" i="7"/>
  <c r="E89" i="40"/>
  <c r="E140" i="40" s="1"/>
  <c r="E190" i="40" s="1"/>
  <c r="E243" i="40" s="1"/>
  <c r="E90" i="40"/>
  <c r="E141" i="40" s="1"/>
  <c r="E192" i="40" s="1"/>
  <c r="E244" i="40" s="1"/>
  <c r="E92" i="40"/>
  <c r="E143" i="40" s="1"/>
  <c r="E194" i="40" s="1"/>
  <c r="E246" i="40" s="1"/>
  <c r="C58" i="40"/>
  <c r="C108" i="40" s="1"/>
  <c r="C158" i="40" s="1"/>
  <c r="C209" i="40" s="1"/>
  <c r="C60" i="40"/>
  <c r="C110" i="40" s="1"/>
  <c r="C160" i="40" s="1"/>
  <c r="C211" i="40" s="1"/>
  <c r="C61" i="40"/>
  <c r="C111" i="40" s="1"/>
  <c r="C161" i="40" s="1"/>
  <c r="C212" i="40" s="1"/>
  <c r="C63" i="40"/>
  <c r="C113" i="40" s="1"/>
  <c r="C163" i="40" s="1"/>
  <c r="C214" i="40" s="1"/>
  <c r="C66" i="40"/>
  <c r="C116" i="40" s="1"/>
  <c r="C166" i="40" s="1"/>
  <c r="C217" i="40" s="1"/>
  <c r="C68" i="40"/>
  <c r="C118" i="40" s="1"/>
  <c r="C168" i="40" s="1"/>
  <c r="C219" i="40" s="1"/>
  <c r="C70" i="40"/>
  <c r="C120" i="40" s="1"/>
  <c r="C170" i="40" s="1"/>
  <c r="C221" i="40" s="1"/>
  <c r="E41" i="40"/>
  <c r="E91" i="40" s="1"/>
  <c r="E142" i="40" s="1"/>
  <c r="E193" i="40" s="1"/>
  <c r="E245" i="40" s="1"/>
  <c r="E38" i="40"/>
  <c r="E88" i="40" s="1"/>
  <c r="E139" i="40" s="1"/>
  <c r="E189" i="40" s="1"/>
  <c r="E242" i="40" s="1"/>
  <c r="E37" i="40"/>
  <c r="E86" i="40" s="1"/>
  <c r="E137" i="40" s="1"/>
  <c r="E187" i="40" s="1"/>
  <c r="E240" i="40" s="1"/>
  <c r="E35" i="40"/>
  <c r="E84" i="40" s="1"/>
  <c r="E135" i="40" s="1"/>
  <c r="C24" i="40"/>
  <c r="C72" i="40" s="1"/>
  <c r="C122" i="40" s="1"/>
  <c r="C172" i="40" s="1"/>
  <c r="C223" i="40" s="1"/>
  <c r="C23" i="40"/>
  <c r="C71" i="40" s="1"/>
  <c r="C121" i="40" s="1"/>
  <c r="C171" i="40" s="1"/>
  <c r="C222" i="40" s="1"/>
  <c r="C21" i="40"/>
  <c r="C69" i="40" s="1"/>
  <c r="C119" i="40" s="1"/>
  <c r="C169" i="40" s="1"/>
  <c r="C220" i="40" s="1"/>
  <c r="C19" i="40"/>
  <c r="C67" i="40" s="1"/>
  <c r="C117" i="40" s="1"/>
  <c r="C167" i="40" s="1"/>
  <c r="C218" i="40" s="1"/>
  <c r="C16" i="40"/>
  <c r="C64" i="40" s="1"/>
  <c r="C114" i="40" s="1"/>
  <c r="C164" i="40" s="1"/>
  <c r="C215" i="40" s="1"/>
  <c r="C14" i="40"/>
  <c r="C62" i="40" s="1"/>
  <c r="C112" i="40" s="1"/>
  <c r="C162" i="40" s="1"/>
  <c r="C213" i="40" s="1"/>
  <c r="C11" i="40"/>
  <c r="C59" i="40" s="1"/>
  <c r="C109" i="40" s="1"/>
  <c r="C159" i="40" s="1"/>
  <c r="C210" i="40" s="1"/>
  <c r="C9" i="40"/>
  <c r="C57" i="40" s="1"/>
  <c r="C107" i="40" s="1"/>
  <c r="C8" i="40"/>
  <c r="C56" i="40" s="1"/>
  <c r="C7" i="40"/>
  <c r="C157" i="40" l="1"/>
  <c r="C208" i="40" s="1"/>
  <c r="E185" i="40"/>
  <c r="E238" i="40" s="1"/>
  <c r="C43" i="40"/>
  <c r="G62" i="7"/>
  <c r="C55" i="40"/>
  <c r="C93" i="40" s="1"/>
  <c r="G84" i="7"/>
  <c r="C29" i="7"/>
  <c r="C72" i="7" s="1"/>
  <c r="C115" i="7" s="1"/>
  <c r="C159" i="7" s="1"/>
  <c r="C203" i="7" s="1"/>
  <c r="C34" i="8"/>
  <c r="C83" i="8" s="1"/>
  <c r="C34" i="7"/>
  <c r="C77" i="7" s="1"/>
  <c r="C120" i="7" s="1"/>
  <c r="C164" i="7" s="1"/>
  <c r="C208" i="7" s="1"/>
  <c r="C33" i="7"/>
  <c r="C76" i="7" s="1"/>
  <c r="C119" i="7" s="1"/>
  <c r="C163" i="7" s="1"/>
  <c r="C207" i="7" s="1"/>
  <c r="C105" i="40" l="1"/>
  <c r="C155" i="40" s="1"/>
  <c r="C206" i="40" s="1"/>
  <c r="G85" i="7"/>
  <c r="C195" i="40" l="1"/>
  <c r="C144" i="40"/>
  <c r="C37" i="7"/>
  <c r="C80" i="7" s="1"/>
  <c r="C123" i="7" s="1"/>
  <c r="C167" i="7" s="1"/>
  <c r="C211" i="7" s="1"/>
  <c r="A14" i="8"/>
  <c r="A9" i="8"/>
  <c r="A15" i="8"/>
  <c r="A11" i="8"/>
  <c r="A10" i="8"/>
  <c r="A8" i="8"/>
  <c r="A7" i="8"/>
  <c r="A13" i="8"/>
  <c r="C247" i="40" l="1"/>
  <c r="G562" i="7"/>
  <c r="I542" i="7" l="1"/>
  <c r="A534" i="7" l="1"/>
  <c r="G561" i="7" l="1"/>
  <c r="G558" i="7" l="1"/>
  <c r="G527" i="7"/>
  <c r="I525" i="7"/>
  <c r="G538" i="7"/>
  <c r="C566" i="7"/>
  <c r="I561" i="7"/>
  <c r="C497" i="7"/>
  <c r="G531" i="7"/>
  <c r="G542" i="7" l="1"/>
  <c r="G535" i="7" l="1"/>
  <c r="C562" i="7"/>
  <c r="C559" i="7"/>
  <c r="C548" i="7"/>
  <c r="C532" i="7" l="1"/>
  <c r="I527" i="7"/>
  <c r="G540" i="7"/>
  <c r="I529" i="7"/>
  <c r="I528" i="7"/>
  <c r="G547" i="7" l="1"/>
  <c r="I535" i="7" s="1"/>
  <c r="J535" i="7" s="1"/>
  <c r="E21" i="11" l="1"/>
  <c r="D21" i="11"/>
  <c r="A535" i="7"/>
  <c r="G30" i="8" l="1"/>
  <c r="G549" i="7"/>
  <c r="G569" i="7" s="1"/>
  <c r="G28" i="7"/>
  <c r="G570" i="7" l="1"/>
  <c r="G499" i="7"/>
  <c r="G500" i="7"/>
  <c r="G491" i="7"/>
  <c r="G482" i="7"/>
  <c r="G480" i="7"/>
  <c r="G478" i="7"/>
  <c r="G477" i="7"/>
  <c r="G476" i="7"/>
  <c r="I480" i="7" s="1"/>
  <c r="G492" i="7"/>
  <c r="A484" i="7"/>
  <c r="G498" i="7"/>
  <c r="G484" i="7" l="1"/>
  <c r="G515" i="7"/>
  <c r="G516" i="7" l="1"/>
  <c r="G398" i="7" l="1"/>
  <c r="I242" i="7" l="1"/>
  <c r="I241" i="7"/>
  <c r="G448" i="7" l="1"/>
  <c r="G441" i="7" l="1"/>
  <c r="I440" i="7"/>
  <c r="G447" i="7"/>
  <c r="G464" i="7" s="1"/>
  <c r="A434" i="7"/>
  <c r="G434" i="7"/>
  <c r="I442" i="7" s="1"/>
  <c r="G242" i="7"/>
  <c r="C296" i="7"/>
  <c r="C346" i="7" s="1"/>
  <c r="G465" i="7" l="1"/>
  <c r="I435" i="7"/>
  <c r="G378" i="7"/>
  <c r="G382" i="7"/>
  <c r="G380" i="7"/>
  <c r="G377" i="7"/>
  <c r="G376" i="7"/>
  <c r="G397" i="7" l="1"/>
  <c r="A384" i="7"/>
  <c r="G384" i="7"/>
  <c r="I392" i="7" s="1"/>
  <c r="I385" i="7" l="1"/>
  <c r="G414" i="7"/>
  <c r="G415" i="7" l="1"/>
  <c r="G348" i="7" l="1"/>
  <c r="G349" i="7"/>
  <c r="G327" i="7"/>
  <c r="G332" i="7" l="1"/>
  <c r="G334" i="7" s="1"/>
  <c r="G326" i="7"/>
  <c r="A334" i="7"/>
  <c r="G347" i="7"/>
  <c r="G364" i="7" s="1"/>
  <c r="I335" i="7" l="1"/>
  <c r="G365" i="7"/>
  <c r="G249" i="7" l="1"/>
  <c r="G298" i="7" l="1"/>
  <c r="G313" i="7" l="1"/>
  <c r="C313" i="7" l="1"/>
  <c r="C363" i="7" s="1"/>
  <c r="C413" i="7" s="1"/>
  <c r="C463" i="7" s="1"/>
  <c r="C514" i="7" s="1"/>
  <c r="C568" i="7" s="1"/>
  <c r="G284" i="7" l="1"/>
  <c r="A284" i="7"/>
  <c r="G297" i="7"/>
  <c r="C257" i="7"/>
  <c r="G260" i="7"/>
  <c r="G250" i="7"/>
  <c r="C240" i="7"/>
  <c r="C288" i="7" s="1"/>
  <c r="C338" i="7" s="1"/>
  <c r="C388" i="7" s="1"/>
  <c r="C438" i="7" s="1"/>
  <c r="C488" i="7" s="1"/>
  <c r="C262" i="7"/>
  <c r="C311" i="7" s="1"/>
  <c r="G248" i="7"/>
  <c r="G244" i="7"/>
  <c r="A236" i="7"/>
  <c r="G236" i="7"/>
  <c r="I237" i="7" s="1"/>
  <c r="C306" i="7" l="1"/>
  <c r="C356" i="7" s="1"/>
  <c r="C406" i="7" s="1"/>
  <c r="C456" i="7" s="1"/>
  <c r="C507" i="7" s="1"/>
  <c r="C558" i="7" s="1"/>
  <c r="G264" i="7"/>
  <c r="G265" i="7" s="1"/>
  <c r="C361" i="7"/>
  <c r="C411" i="7" s="1"/>
  <c r="C461" i="7" s="1"/>
  <c r="C512" i="7" s="1"/>
  <c r="C565" i="7" s="1"/>
  <c r="G314" i="7"/>
  <c r="I285" i="7"/>
  <c r="C259" i="7"/>
  <c r="C308" i="7" l="1"/>
  <c r="C358" i="7" s="1"/>
  <c r="C408" i="7" s="1"/>
  <c r="C458" i="7" s="1"/>
  <c r="C509" i="7" s="1"/>
  <c r="C561" i="7" s="1"/>
  <c r="G315" i="7"/>
  <c r="J244" i="8"/>
  <c r="I156" i="7" l="1"/>
  <c r="C247" i="7" l="1"/>
  <c r="C295" i="7" s="1"/>
  <c r="C345" i="7" s="1"/>
  <c r="C395" i="7" s="1"/>
  <c r="C445" i="7" s="1"/>
  <c r="C495" i="7" s="1"/>
  <c r="C546" i="7" s="1"/>
  <c r="J150" i="7"/>
  <c r="J191" i="8"/>
  <c r="I171" i="7"/>
  <c r="C244" i="7" l="1"/>
  <c r="C292" i="7" s="1"/>
  <c r="C342" i="7" s="1"/>
  <c r="C392" i="7" s="1"/>
  <c r="C442" i="7" s="1"/>
  <c r="C492" i="7" s="1"/>
  <c r="C543" i="7" s="1"/>
  <c r="C242" i="7"/>
  <c r="C290" i="7" s="1"/>
  <c r="C340" i="7" s="1"/>
  <c r="C390" i="7" s="1"/>
  <c r="C440" i="7" s="1"/>
  <c r="C490" i="7" s="1"/>
  <c r="C541" i="7" s="1"/>
  <c r="I140" i="7"/>
  <c r="I141" i="7" s="1"/>
  <c r="G185" i="8"/>
  <c r="C172" i="8"/>
  <c r="C171" i="8"/>
  <c r="C170" i="8"/>
  <c r="C169" i="8"/>
  <c r="C168" i="8"/>
  <c r="C166" i="8"/>
  <c r="G165" i="8"/>
  <c r="I150" i="7" l="1"/>
  <c r="J152" i="7" s="1"/>
  <c r="I172" i="7"/>
  <c r="J172" i="7" s="1"/>
  <c r="G186" i="8"/>
  <c r="G190" i="8" s="1"/>
  <c r="D124" i="8"/>
  <c r="C174" i="8" s="1"/>
  <c r="C111" i="7"/>
  <c r="C153" i="7" s="1"/>
  <c r="C197" i="7" s="1"/>
  <c r="C241" i="7" s="1"/>
  <c r="C289" i="7" s="1"/>
  <c r="C339" i="7" s="1"/>
  <c r="C389" i="7" s="1"/>
  <c r="C439" i="7" s="1"/>
  <c r="C489" i="7" s="1"/>
  <c r="C540" i="7" s="1"/>
  <c r="C124" i="8"/>
  <c r="C123" i="8"/>
  <c r="C122" i="8"/>
  <c r="C121" i="8"/>
  <c r="C120" i="8"/>
  <c r="C119" i="8"/>
  <c r="C118" i="8"/>
  <c r="C116" i="8"/>
  <c r="G128" i="7" l="1"/>
  <c r="G104" i="7"/>
  <c r="C243" i="7"/>
  <c r="C291" i="7" s="1"/>
  <c r="C341" i="7" s="1"/>
  <c r="C391" i="7" s="1"/>
  <c r="C441" i="7" s="1"/>
  <c r="C491" i="7" s="1"/>
  <c r="C542" i="7" s="1"/>
  <c r="G115" i="8"/>
  <c r="I104" i="7" l="1"/>
  <c r="G129" i="7"/>
  <c r="G136" i="8"/>
  <c r="C77" i="8"/>
  <c r="C125" i="8" s="1"/>
  <c r="C175" i="8" s="1"/>
  <c r="C224" i="8" s="1"/>
  <c r="G138" i="8" l="1"/>
  <c r="C76" i="8"/>
  <c r="C75" i="8"/>
  <c r="C74" i="8"/>
  <c r="C73" i="8"/>
  <c r="C72" i="8"/>
  <c r="C71" i="8"/>
  <c r="C70" i="8"/>
  <c r="C69" i="8"/>
  <c r="C68" i="8"/>
  <c r="C117" i="8" s="1"/>
  <c r="C167" i="8" s="1"/>
  <c r="C216" i="8" s="1"/>
  <c r="C114" i="8"/>
  <c r="C164" i="8" s="1"/>
  <c r="C213" i="8" s="1"/>
  <c r="C239" i="7"/>
  <c r="C287" i="7" s="1"/>
  <c r="C337" i="7" s="1"/>
  <c r="C387" i="7" s="1"/>
  <c r="C437" i="7" s="1"/>
  <c r="C487" i="7" s="1"/>
  <c r="C538" i="7" s="1"/>
  <c r="C238" i="7"/>
  <c r="C286" i="7" s="1"/>
  <c r="C336" i="7" s="1"/>
  <c r="C386" i="7" s="1"/>
  <c r="C436" i="7" s="1"/>
  <c r="C486" i="7" s="1"/>
  <c r="C537" i="7" s="1"/>
  <c r="G66" i="8" l="1"/>
  <c r="I217" i="8" l="1"/>
  <c r="G87" i="8" l="1"/>
  <c r="G88" i="8" l="1"/>
  <c r="G90" i="8" s="1"/>
  <c r="C36" i="7" l="1"/>
  <c r="C40" i="7"/>
  <c r="C36" i="8"/>
  <c r="C35" i="8"/>
  <c r="J44" i="8"/>
  <c r="D29" i="8"/>
  <c r="C78" i="8" s="1"/>
  <c r="C126" i="8" s="1"/>
  <c r="C37" i="8"/>
  <c r="C30" i="7"/>
  <c r="C35" i="7"/>
  <c r="C32" i="7"/>
  <c r="C31" i="7"/>
  <c r="C21" i="7"/>
  <c r="C9" i="7"/>
  <c r="C252" i="7" l="1"/>
  <c r="C75" i="7"/>
  <c r="C118" i="7" s="1"/>
  <c r="C162" i="7" s="1"/>
  <c r="C206" i="7" s="1"/>
  <c r="C250" i="7" s="1"/>
  <c r="C299" i="7" s="1"/>
  <c r="C349" i="7" s="1"/>
  <c r="C399" i="7" s="1"/>
  <c r="C449" i="7" s="1"/>
  <c r="C500" i="7" s="1"/>
  <c r="C551" i="7" s="1"/>
  <c r="C73" i="7"/>
  <c r="C116" i="7" s="1"/>
  <c r="C160" i="7" s="1"/>
  <c r="C204" i="7" s="1"/>
  <c r="C263" i="7"/>
  <c r="C83" i="7"/>
  <c r="C126" i="7" s="1"/>
  <c r="C170" i="7" s="1"/>
  <c r="C214" i="7" s="1"/>
  <c r="C258" i="7" s="1"/>
  <c r="C307" i="7" s="1"/>
  <c r="C357" i="7" s="1"/>
  <c r="C407" i="7" s="1"/>
  <c r="C457" i="7" s="1"/>
  <c r="C508" i="7" s="1"/>
  <c r="C560" i="7" s="1"/>
  <c r="C52" i="7"/>
  <c r="C94" i="7" s="1"/>
  <c r="C251" i="7"/>
  <c r="C74" i="7"/>
  <c r="C117" i="7" s="1"/>
  <c r="C161" i="7" s="1"/>
  <c r="C205" i="7" s="1"/>
  <c r="C249" i="7" s="1"/>
  <c r="C298" i="7" s="1"/>
  <c r="C348" i="7" s="1"/>
  <c r="C398" i="7" s="1"/>
  <c r="C448" i="7" s="1"/>
  <c r="C499" i="7" s="1"/>
  <c r="C550" i="7" s="1"/>
  <c r="C255" i="7"/>
  <c r="C78" i="7"/>
  <c r="C121" i="7" s="1"/>
  <c r="C165" i="7" s="1"/>
  <c r="C209" i="7" s="1"/>
  <c r="C253" i="7" s="1"/>
  <c r="C302" i="7" s="1"/>
  <c r="C352" i="7" s="1"/>
  <c r="C402" i="7" s="1"/>
  <c r="C452" i="7" s="1"/>
  <c r="C503" i="7" s="1"/>
  <c r="C554" i="7" s="1"/>
  <c r="C256" i="7"/>
  <c r="C79" i="7"/>
  <c r="C122" i="7" s="1"/>
  <c r="C166" i="7" s="1"/>
  <c r="C210" i="7" s="1"/>
  <c r="C254" i="7" s="1"/>
  <c r="C303" i="7" s="1"/>
  <c r="C353" i="7" s="1"/>
  <c r="C403" i="7" s="1"/>
  <c r="C453" i="7" s="1"/>
  <c r="C504" i="7" s="1"/>
  <c r="C555" i="7" s="1"/>
  <c r="C131" i="8"/>
  <c r="C181" i="8" s="1"/>
  <c r="C230" i="8" s="1"/>
  <c r="C84" i="8"/>
  <c r="C132" i="8" s="1"/>
  <c r="C182" i="8" s="1"/>
  <c r="C231" i="8" s="1"/>
  <c r="C85" i="8"/>
  <c r="C133" i="8" s="1"/>
  <c r="C183" i="8" s="1"/>
  <c r="C232" i="8" s="1"/>
  <c r="C301" i="7"/>
  <c r="C351" i="7" s="1"/>
  <c r="C401" i="7" s="1"/>
  <c r="C451" i="7" s="1"/>
  <c r="C502" i="7" s="1"/>
  <c r="C553" i="7" s="1"/>
  <c r="C305" i="7"/>
  <c r="C355" i="7" s="1"/>
  <c r="C405" i="7" s="1"/>
  <c r="C455" i="7" s="1"/>
  <c r="C506" i="7" s="1"/>
  <c r="C557" i="7" s="1"/>
  <c r="C300" i="7"/>
  <c r="C350" i="7" s="1"/>
  <c r="C400" i="7" s="1"/>
  <c r="C450" i="7" s="1"/>
  <c r="C501" i="7" s="1"/>
  <c r="C552" i="7" s="1"/>
  <c r="C304" i="7"/>
  <c r="C354" i="7" s="1"/>
  <c r="C404" i="7" s="1"/>
  <c r="C454" i="7" s="1"/>
  <c r="C505" i="7" s="1"/>
  <c r="C556" i="7" s="1"/>
  <c r="C312" i="7"/>
  <c r="C176" i="8"/>
  <c r="C138" i="7" l="1"/>
  <c r="C182" i="7" s="1"/>
  <c r="C226" i="7" s="1"/>
  <c r="C274" i="7" s="1"/>
  <c r="C324" i="7" s="1"/>
  <c r="C374" i="7" s="1"/>
  <c r="C424" i="7" s="1"/>
  <c r="C474" i="7" s="1"/>
  <c r="C525" i="7" s="1"/>
  <c r="C362" i="7"/>
  <c r="C412" i="7" s="1"/>
  <c r="C462" i="7" s="1"/>
  <c r="C513" i="7" s="1"/>
  <c r="C567" i="7" s="1"/>
  <c r="I312" i="7"/>
  <c r="F8" i="11"/>
  <c r="C42" i="11" s="1"/>
  <c r="F42" i="11" s="1"/>
  <c r="C79" i="11" s="1"/>
  <c r="F79" i="11" s="1"/>
  <c r="C115" i="11" s="1"/>
  <c r="F115" i="11" s="1"/>
  <c r="C151" i="11" s="1"/>
  <c r="F151" i="11" s="1"/>
  <c r="F10" i="11"/>
  <c r="C44" i="11" s="1"/>
  <c r="F44" i="11" s="1"/>
  <c r="C81" i="11" s="1"/>
  <c r="F81" i="11" s="1"/>
  <c r="C118" i="11" s="1"/>
  <c r="F118" i="11" s="1"/>
  <c r="C154" i="11" s="1"/>
  <c r="F154" i="11" s="1"/>
  <c r="F14" i="11"/>
  <c r="C48" i="11" s="1"/>
  <c r="F48" i="11" s="1"/>
  <c r="C85" i="11" s="1"/>
  <c r="F85" i="11" s="1"/>
  <c r="C124" i="11" s="1"/>
  <c r="F124" i="11" s="1"/>
  <c r="C161" i="11" s="1"/>
  <c r="F161" i="11" s="1"/>
  <c r="F15" i="11"/>
  <c r="C49" i="11" s="1"/>
  <c r="F49" i="11" s="1"/>
  <c r="C86" i="11" s="1"/>
  <c r="F86" i="11" s="1"/>
  <c r="C125" i="11" s="1"/>
  <c r="F125" i="11" s="1"/>
  <c r="C162" i="11" s="1"/>
  <c r="F162" i="11" s="1"/>
  <c r="F16" i="11"/>
  <c r="C50" i="11" s="1"/>
  <c r="F50" i="11" s="1"/>
  <c r="C87" i="11" s="1"/>
  <c r="F87" i="11" s="1"/>
  <c r="C126" i="11" s="1"/>
  <c r="F126" i="11" s="1"/>
  <c r="C163" i="11" s="1"/>
  <c r="F163" i="11" s="1"/>
  <c r="F17" i="11"/>
  <c r="C51" i="11" s="1"/>
  <c r="F51" i="11" s="1"/>
  <c r="C88" i="11" s="1"/>
  <c r="F88" i="11" s="1"/>
  <c r="C127" i="11" s="1"/>
  <c r="F127" i="11" s="1"/>
  <c r="C164" i="11" s="1"/>
  <c r="F164" i="11" s="1"/>
  <c r="F18" i="11"/>
  <c r="C52" i="11" s="1"/>
  <c r="F52" i="11" s="1"/>
  <c r="C89" i="11" s="1"/>
  <c r="F89" i="11" s="1"/>
  <c r="C128" i="11" s="1"/>
  <c r="F128" i="11" s="1"/>
  <c r="C165" i="11" s="1"/>
  <c r="F165" i="11" s="1"/>
  <c r="F19" i="11"/>
  <c r="C53" i="11" s="1"/>
  <c r="F53" i="11" s="1"/>
  <c r="C90" i="11" s="1"/>
  <c r="F90" i="11" s="1"/>
  <c r="C129" i="11" s="1"/>
  <c r="F129" i="11" s="1"/>
  <c r="C166" i="11" s="1"/>
  <c r="F166" i="11" s="1"/>
  <c r="F20" i="11"/>
  <c r="C54" i="11" s="1"/>
  <c r="F54" i="11" s="1"/>
  <c r="C91" i="11" s="1"/>
  <c r="F91" i="11" s="1"/>
  <c r="C130" i="11" s="1"/>
  <c r="F130" i="11" s="1"/>
  <c r="C167" i="11" s="1"/>
  <c r="F167" i="11" s="1"/>
  <c r="C28" i="7"/>
  <c r="C71" i="7" s="1"/>
  <c r="G39" i="8"/>
  <c r="C6" i="8"/>
  <c r="C55" i="8" s="1"/>
  <c r="C104" i="8" s="1"/>
  <c r="C154" i="8" s="1"/>
  <c r="C203" i="8" s="1"/>
  <c r="C7" i="8"/>
  <c r="C56" i="8" s="1"/>
  <c r="C105" i="8" s="1"/>
  <c r="C155" i="8" s="1"/>
  <c r="C204" i="8" s="1"/>
  <c r="C8" i="8"/>
  <c r="C57" i="8" s="1"/>
  <c r="C106" i="8" s="1"/>
  <c r="C156" i="8" s="1"/>
  <c r="C205" i="8" s="1"/>
  <c r="C9" i="8"/>
  <c r="C58" i="8" s="1"/>
  <c r="C107" i="8" s="1"/>
  <c r="C157" i="8" s="1"/>
  <c r="C206" i="8" s="1"/>
  <c r="C10" i="8"/>
  <c r="C59" i="8" s="1"/>
  <c r="C108" i="8" s="1"/>
  <c r="C158" i="8" s="1"/>
  <c r="C207" i="8" s="1"/>
  <c r="C11" i="8"/>
  <c r="C60" i="8" s="1"/>
  <c r="C109" i="8" s="1"/>
  <c r="C159" i="8" s="1"/>
  <c r="C208" i="8" s="1"/>
  <c r="C12" i="8"/>
  <c r="C61" i="8" s="1"/>
  <c r="C110" i="8" s="1"/>
  <c r="C160" i="8" s="1"/>
  <c r="C209" i="8" s="1"/>
  <c r="C13" i="8"/>
  <c r="C62" i="8" s="1"/>
  <c r="C111" i="8" s="1"/>
  <c r="C161" i="8" s="1"/>
  <c r="C210" i="8" s="1"/>
  <c r="C14" i="8"/>
  <c r="C63" i="8" s="1"/>
  <c r="C112" i="8" s="1"/>
  <c r="C162" i="8" s="1"/>
  <c r="C211" i="8" s="1"/>
  <c r="C15" i="8"/>
  <c r="C64" i="8" s="1"/>
  <c r="C113" i="8" s="1"/>
  <c r="C163" i="8" s="1"/>
  <c r="C212" i="8" s="1"/>
  <c r="C16" i="8"/>
  <c r="C65" i="8" s="1"/>
  <c r="A17" i="8"/>
  <c r="A19" i="8" s="1"/>
  <c r="G17" i="8"/>
  <c r="C18" i="8"/>
  <c r="C19" i="8"/>
  <c r="C20" i="8"/>
  <c r="C21" i="8"/>
  <c r="C22" i="8"/>
  <c r="C23" i="8"/>
  <c r="C24" i="8"/>
  <c r="C25" i="8"/>
  <c r="C26" i="8"/>
  <c r="C27" i="8"/>
  <c r="C29" i="8"/>
  <c r="C31" i="8"/>
  <c r="C32" i="8"/>
  <c r="C33" i="8"/>
  <c r="C38" i="8"/>
  <c r="C86" i="8" s="1"/>
  <c r="C11" i="7"/>
  <c r="C54" i="7" s="1"/>
  <c r="C12" i="7"/>
  <c r="C13" i="7"/>
  <c r="C14" i="7"/>
  <c r="C15" i="7"/>
  <c r="C16" i="7"/>
  <c r="C17" i="7"/>
  <c r="C18" i="7"/>
  <c r="A19" i="7"/>
  <c r="G19" i="7"/>
  <c r="C103" i="7" l="1"/>
  <c r="C147" i="7" s="1"/>
  <c r="C191" i="7" s="1"/>
  <c r="C61" i="7"/>
  <c r="C101" i="7"/>
  <c r="C59" i="7"/>
  <c r="C99" i="7"/>
  <c r="C57" i="7"/>
  <c r="C97" i="7"/>
  <c r="C141" i="7" s="1"/>
  <c r="C185" i="7" s="1"/>
  <c r="C55" i="7"/>
  <c r="C102" i="7"/>
  <c r="C60" i="7"/>
  <c r="C100" i="7"/>
  <c r="C58" i="7"/>
  <c r="C98" i="7"/>
  <c r="C142" i="7" s="1"/>
  <c r="C186" i="7" s="1"/>
  <c r="C56" i="7"/>
  <c r="C62" i="7"/>
  <c r="A70" i="7" s="1"/>
  <c r="C81" i="8"/>
  <c r="C129" i="8" s="1"/>
  <c r="C179" i="8" s="1"/>
  <c r="C228" i="8" s="1"/>
  <c r="C82" i="8"/>
  <c r="C130" i="8" s="1"/>
  <c r="C180" i="8" s="1"/>
  <c r="C229" i="8" s="1"/>
  <c r="C80" i="8"/>
  <c r="C128" i="8" s="1"/>
  <c r="C178" i="8" s="1"/>
  <c r="C227" i="8" s="1"/>
  <c r="C214" i="8"/>
  <c r="C134" i="8"/>
  <c r="C184" i="8" s="1"/>
  <c r="C234" i="8" s="1"/>
  <c r="C84" i="7"/>
  <c r="C114" i="7"/>
  <c r="C158" i="7" s="1"/>
  <c r="C202" i="7" s="1"/>
  <c r="F11" i="11"/>
  <c r="C45" i="11" s="1"/>
  <c r="F45" i="11" s="1"/>
  <c r="C82" i="11" s="1"/>
  <c r="F82" i="11" s="1"/>
  <c r="C119" i="11" s="1"/>
  <c r="F119" i="11" s="1"/>
  <c r="C155" i="11" s="1"/>
  <c r="F155" i="11" s="1"/>
  <c r="F12" i="11"/>
  <c r="C46" i="11" s="1"/>
  <c r="F46" i="11" s="1"/>
  <c r="C83" i="11" s="1"/>
  <c r="F83" i="11" s="1"/>
  <c r="C120" i="11" s="1"/>
  <c r="F120" i="11" s="1"/>
  <c r="C156" i="11" s="1"/>
  <c r="F156" i="11" s="1"/>
  <c r="F9" i="11"/>
  <c r="C43" i="11" s="1"/>
  <c r="C235" i="7"/>
  <c r="C283" i="7" s="1"/>
  <c r="C229" i="7"/>
  <c r="C277" i="7" s="1"/>
  <c r="C327" i="7" s="1"/>
  <c r="C377" i="7" s="1"/>
  <c r="C427" i="7" s="1"/>
  <c r="C477" i="7" s="1"/>
  <c r="C528" i="7" s="1"/>
  <c r="C230" i="7"/>
  <c r="C278" i="7" s="1"/>
  <c r="C328" i="7" s="1"/>
  <c r="C378" i="7" s="1"/>
  <c r="C428" i="7" s="1"/>
  <c r="C478" i="7" s="1"/>
  <c r="C529" i="7" s="1"/>
  <c r="F13" i="11"/>
  <c r="C47" i="11" s="1"/>
  <c r="F47" i="11" s="1"/>
  <c r="C84" i="11" s="1"/>
  <c r="F84" i="11" s="1"/>
  <c r="C123" i="11" s="1"/>
  <c r="F123" i="11" s="1"/>
  <c r="C160" i="11" s="1"/>
  <c r="F160" i="11" s="1"/>
  <c r="C30" i="8"/>
  <c r="G40" i="8"/>
  <c r="C165" i="8"/>
  <c r="C66" i="8"/>
  <c r="C115" i="8"/>
  <c r="C96" i="7"/>
  <c r="C17" i="8"/>
  <c r="G41" i="7"/>
  <c r="G42" i="7" s="1"/>
  <c r="C41" i="7"/>
  <c r="C19" i="7"/>
  <c r="F43" i="11" l="1"/>
  <c r="C144" i="7"/>
  <c r="C188" i="7" s="1"/>
  <c r="C232" i="7" s="1"/>
  <c r="C280" i="7" s="1"/>
  <c r="C330" i="7" s="1"/>
  <c r="C380" i="7" s="1"/>
  <c r="C430" i="7" s="1"/>
  <c r="C480" i="7" s="1"/>
  <c r="C531" i="7" s="1"/>
  <c r="C146" i="7"/>
  <c r="C190" i="7" s="1"/>
  <c r="C234" i="7" s="1"/>
  <c r="C282" i="7" s="1"/>
  <c r="C332" i="7" s="1"/>
  <c r="C382" i="7" s="1"/>
  <c r="C432" i="7" s="1"/>
  <c r="C482" i="7" s="1"/>
  <c r="C533" i="7" s="1"/>
  <c r="C143" i="7"/>
  <c r="C187" i="7" s="1"/>
  <c r="C231" i="7" s="1"/>
  <c r="C279" i="7" s="1"/>
  <c r="C329" i="7" s="1"/>
  <c r="C379" i="7" s="1"/>
  <c r="C429" i="7" s="1"/>
  <c r="C479" i="7" s="1"/>
  <c r="C530" i="7" s="1"/>
  <c r="C145" i="7"/>
  <c r="C189" i="7" s="1"/>
  <c r="C233" i="7" s="1"/>
  <c r="C281" i="7" s="1"/>
  <c r="C331" i="7" s="1"/>
  <c r="C104" i="7"/>
  <c r="C140" i="7"/>
  <c r="C85" i="7"/>
  <c r="C172" i="7"/>
  <c r="C128" i="7"/>
  <c r="C79" i="8"/>
  <c r="C39" i="8"/>
  <c r="C40" i="8" s="1"/>
  <c r="G44" i="8"/>
  <c r="C333" i="7"/>
  <c r="I282" i="7"/>
  <c r="I234" i="7"/>
  <c r="G43" i="8"/>
  <c r="C42" i="7"/>
  <c r="I19" i="7"/>
  <c r="C80" i="11" l="1"/>
  <c r="F80" i="11" s="1"/>
  <c r="C117" i="11" s="1"/>
  <c r="F117" i="11" s="1"/>
  <c r="C153" i="11" s="1"/>
  <c r="F153" i="11" s="1"/>
  <c r="C184" i="7"/>
  <c r="C192" i="7" s="1"/>
  <c r="C148" i="7"/>
  <c r="C173" i="7" s="1"/>
  <c r="C216" i="7"/>
  <c r="C246" i="7"/>
  <c r="C294" i="7" s="1"/>
  <c r="C344" i="7" s="1"/>
  <c r="C394" i="7" s="1"/>
  <c r="C444" i="7" s="1"/>
  <c r="C494" i="7" s="1"/>
  <c r="C545" i="7" s="1"/>
  <c r="C245" i="7"/>
  <c r="C293" i="7" s="1"/>
  <c r="C343" i="7" s="1"/>
  <c r="C393" i="7" s="1"/>
  <c r="C443" i="7" s="1"/>
  <c r="C493" i="7" s="1"/>
  <c r="C544" i="7" s="1"/>
  <c r="C87" i="8"/>
  <c r="C88" i="8" s="1"/>
  <c r="C90" i="8" s="1"/>
  <c r="C127" i="8"/>
  <c r="G52" i="7"/>
  <c r="G93" i="8" s="1"/>
  <c r="G94" i="7" s="1"/>
  <c r="G141" i="8" s="1"/>
  <c r="J46" i="8"/>
  <c r="I332" i="7"/>
  <c r="C383" i="7"/>
  <c r="C248" i="7"/>
  <c r="C297" i="7" s="1"/>
  <c r="C347" i="7" s="1"/>
  <c r="C397" i="7" s="1"/>
  <c r="C447" i="7" s="1"/>
  <c r="C129" i="7"/>
  <c r="C44" i="8"/>
  <c r="I44" i="8" s="1"/>
  <c r="C93" i="8"/>
  <c r="C43" i="8"/>
  <c r="C217" i="7" l="1"/>
  <c r="C260" i="7"/>
  <c r="C309" i="7" s="1"/>
  <c r="C359" i="7" s="1"/>
  <c r="C409" i="7" s="1"/>
  <c r="C459" i="7" s="1"/>
  <c r="C510" i="7" s="1"/>
  <c r="C563" i="7" s="1"/>
  <c r="C135" i="8"/>
  <c r="C136" i="8" s="1"/>
  <c r="C138" i="8" s="1"/>
  <c r="C177" i="8"/>
  <c r="C226" i="8" s="1"/>
  <c r="C235" i="8" s="1"/>
  <c r="G138" i="7"/>
  <c r="G191" i="8" s="1"/>
  <c r="G182" i="7" s="1"/>
  <c r="G241" i="8" s="1"/>
  <c r="J93" i="8"/>
  <c r="I93" i="8"/>
  <c r="I382" i="7"/>
  <c r="C433" i="7"/>
  <c r="C498" i="7"/>
  <c r="C549" i="7" s="1"/>
  <c r="C314" i="7"/>
  <c r="C264" i="7"/>
  <c r="C228" i="7"/>
  <c r="C276" i="7" s="1"/>
  <c r="C326" i="7" s="1"/>
  <c r="C185" i="8" l="1"/>
  <c r="C236" i="8"/>
  <c r="C238" i="8" s="1"/>
  <c r="C261" i="7"/>
  <c r="C310" i="7" s="1"/>
  <c r="C360" i="7" s="1"/>
  <c r="C410" i="7" s="1"/>
  <c r="C460" i="7" s="1"/>
  <c r="C511" i="7" s="1"/>
  <c r="C564" i="7" s="1"/>
  <c r="J194" i="8"/>
  <c r="C186" i="8"/>
  <c r="C188" i="8" s="1"/>
  <c r="I432" i="7"/>
  <c r="C483" i="7"/>
  <c r="C534" i="7" s="1"/>
  <c r="C334" i="7"/>
  <c r="C376" i="7"/>
  <c r="C364" i="7"/>
  <c r="C396" i="7"/>
  <c r="C236" i="7"/>
  <c r="C265" i="7" s="1"/>
  <c r="C141" i="8"/>
  <c r="I141" i="8" s="1"/>
  <c r="C241" i="8" l="1"/>
  <c r="I241" i="8" s="1"/>
  <c r="I243" i="8" s="1"/>
  <c r="G226" i="7"/>
  <c r="C365" i="7"/>
  <c r="C414" i="7"/>
  <c r="C446" i="7"/>
  <c r="C384" i="7"/>
  <c r="C426" i="7"/>
  <c r="J242" i="8"/>
  <c r="C284" i="7"/>
  <c r="C315" i="7" s="1"/>
  <c r="C191" i="8"/>
  <c r="I191" i="8" s="1"/>
  <c r="G274" i="7" l="1"/>
  <c r="G324" i="7" s="1"/>
  <c r="G374" i="7" s="1"/>
  <c r="G424" i="7" s="1"/>
  <c r="C415" i="7"/>
  <c r="C476" i="7"/>
  <c r="C527" i="7" s="1"/>
  <c r="C535" i="7" s="1"/>
  <c r="C434" i="7"/>
  <c r="C496" i="7"/>
  <c r="C547" i="7" s="1"/>
  <c r="C569" i="7" s="1"/>
  <c r="C464" i="7"/>
  <c r="C465" i="7" s="1"/>
  <c r="C515" i="7" l="1"/>
  <c r="C570" i="7"/>
  <c r="C484" i="7"/>
  <c r="A486" i="7" s="1"/>
  <c r="G474" i="7"/>
  <c r="G525" i="7" s="1"/>
  <c r="C516" i="7" l="1"/>
  <c r="F7" i="11" l="1"/>
  <c r="C21" i="11"/>
  <c r="F21" i="11" l="1"/>
  <c r="C41" i="11"/>
  <c r="E36" i="40" l="1"/>
  <c r="E43" i="40" s="1"/>
  <c r="F41" i="11"/>
  <c r="C55" i="11"/>
  <c r="C78" i="11" l="1"/>
  <c r="F55" i="11"/>
  <c r="E85" i="40" s="1"/>
  <c r="E93" i="40" s="1"/>
  <c r="F78" i="11" l="1"/>
  <c r="C92" i="11"/>
  <c r="C114" i="11" l="1"/>
  <c r="F92" i="11"/>
  <c r="E136" i="40" s="1"/>
  <c r="E144" i="40" s="1"/>
  <c r="F114" i="11" l="1"/>
  <c r="C131" i="11"/>
  <c r="C150" i="11" l="1"/>
  <c r="F131" i="11"/>
  <c r="E186" i="40" s="1"/>
  <c r="E195" i="40" s="1"/>
  <c r="C168" i="11" l="1"/>
  <c r="F150" i="11"/>
  <c r="F168" i="11" s="1"/>
  <c r="E239" i="40" s="1"/>
  <c r="E247" i="40" s="1"/>
</calcChain>
</file>

<file path=xl/sharedStrings.xml><?xml version="1.0" encoding="utf-8"?>
<sst xmlns="http://schemas.openxmlformats.org/spreadsheetml/2006/main" count="3267" uniqueCount="1030">
  <si>
    <t>รายการ</t>
  </si>
  <si>
    <t>รหัสบัญชี</t>
  </si>
  <si>
    <t>เดบิท</t>
  </si>
  <si>
    <t>เครดิต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</si>
  <si>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</si>
  <si>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</si>
  <si>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</si>
  <si>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</si>
  <si>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</si>
  <si>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</si>
  <si>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</si>
  <si>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</si>
  <si>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</si>
  <si>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</si>
  <si>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รายรับ</t>
  </si>
  <si>
    <t>เงินสะสม</t>
  </si>
  <si>
    <t>-</t>
  </si>
  <si>
    <t>รายงานรับ  -   จ่าย   เงินสด</t>
  </si>
  <si>
    <t xml:space="preserve">จนถึงปัจจุบัน </t>
  </si>
  <si>
    <t>เดือนนี้</t>
  </si>
  <si>
    <t>ประมาณการ</t>
  </si>
  <si>
    <t>บาท</t>
  </si>
  <si>
    <t>เกิดขึ้นจริง</t>
  </si>
  <si>
    <t>รหัส</t>
  </si>
  <si>
    <t>บัญชี</t>
  </si>
  <si>
    <t>ยอดยกมา</t>
  </si>
  <si>
    <t>ภาษีอากร</t>
  </si>
  <si>
    <t>ค่าธรรมเนียมฯ</t>
  </si>
  <si>
    <t>รายได้จากทรัพย์สิน</t>
  </si>
  <si>
    <t>รายได้จากสาธารณูปโภค</t>
  </si>
  <si>
    <t>รายได้เบ็ดเตล็ด</t>
  </si>
  <si>
    <t>รายได้จากทุน</t>
  </si>
  <si>
    <t>ภาษีจัดสรร</t>
  </si>
  <si>
    <t>รับฝาก   (หมายเหตุ  2)</t>
  </si>
  <si>
    <t>ลูกหนี้เงินยืมงบประมาณ</t>
  </si>
  <si>
    <t>รวมรายรับ</t>
  </si>
  <si>
    <t>รายจ่าย</t>
  </si>
  <si>
    <t>เงินรับฝาก (หมายเหตุ 2)</t>
  </si>
  <si>
    <t>รวมรายจ่าย</t>
  </si>
  <si>
    <t>สูงกว่า</t>
  </si>
  <si>
    <t>รายรับ          รายจ่าย</t>
  </si>
  <si>
    <t>(ต่ำกว่า)</t>
  </si>
  <si>
    <t>ยอดยกไป</t>
  </si>
  <si>
    <t>รายรับ  (หมายเหตุ  1)</t>
  </si>
  <si>
    <t>รวม</t>
  </si>
  <si>
    <t>รวมทั้งสิ้น</t>
  </si>
  <si>
    <t>เงินรับฝาก  (หมายเหตุ  2)</t>
  </si>
  <si>
    <t>รายละเอียดประกอบงบทดลอง     และรายรับ - จ่ายเงินสด</t>
  </si>
  <si>
    <t>รับ</t>
  </si>
  <si>
    <t>จ่าย</t>
  </si>
  <si>
    <t>หมายเหตุ</t>
  </si>
  <si>
    <t>ภาษีหัก   ณ   ที่จ่าย</t>
  </si>
  <si>
    <t>เงินประกันสัญญา</t>
  </si>
  <si>
    <t>ค่าใช้จ่ายในการจัดเก็บภาษีบำรุงท้องที่  5%</t>
  </si>
  <si>
    <t>เงินทุนสำรองเงินสะสม</t>
  </si>
  <si>
    <t>จ่ายขาดเงินสะสม</t>
  </si>
  <si>
    <t>ลูกหนี้เงินยืมเงินสะสม</t>
  </si>
  <si>
    <t>ส่วนลดในการจัดเก็บภาษีบำรุงท้องที่  6%</t>
  </si>
  <si>
    <t>คงเหลือ</t>
  </si>
  <si>
    <t>เงินฝากธนาคาร</t>
  </si>
  <si>
    <t>110606</t>
  </si>
  <si>
    <t>110605</t>
  </si>
  <si>
    <t>510000</t>
  </si>
  <si>
    <t>520000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</si>
  <si>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</si>
  <si>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</si>
  <si>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</si>
  <si>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</si>
  <si>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</si>
  <si>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</si>
  <si>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</si>
  <si>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</si>
  <si>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320000</t>
  </si>
  <si>
    <t>300000</t>
  </si>
  <si>
    <t>230100</t>
  </si>
  <si>
    <t>210402</t>
  </si>
  <si>
    <t>ชื่อบัญชี</t>
  </si>
  <si>
    <t>411000</t>
  </si>
  <si>
    <t>412000</t>
  </si>
  <si>
    <t>413000</t>
  </si>
  <si>
    <t>415000</t>
  </si>
  <si>
    <t>414000</t>
  </si>
  <si>
    <t>416000</t>
  </si>
  <si>
    <t>420000</t>
  </si>
  <si>
    <t>430000</t>
  </si>
  <si>
    <t>522000</t>
  </si>
  <si>
    <t>522001</t>
  </si>
  <si>
    <t>รายจ่ายเบิกตัดปี(ค้างจ่าย)</t>
  </si>
  <si>
    <t>110201</t>
  </si>
  <si>
    <t>110203</t>
  </si>
  <si>
    <t>ธนาคารกรุงไทย</t>
  </si>
  <si>
    <t>110202</t>
  </si>
  <si>
    <t>รายจ่ายรอจ่าย</t>
  </si>
  <si>
    <t>210500</t>
  </si>
  <si>
    <t>551000</t>
  </si>
  <si>
    <t>เทศบาลตำบลแสนสุข</t>
  </si>
  <si>
    <t xml:space="preserve">ที่ดินและสิ่งก่อสร้าง </t>
  </si>
  <si>
    <t xml:space="preserve">รายจ่ายอื่น </t>
  </si>
  <si>
    <t>วัสดุการศึกษา</t>
  </si>
  <si>
    <t>เงินหลักประกันสุขภาพ  สปสช.</t>
  </si>
  <si>
    <t>( นายจรูญ  เจือจันทร์ )</t>
  </si>
  <si>
    <t>ปลัดเทศบาลตำบลแสนสุข</t>
  </si>
  <si>
    <t>ลูกหนี้เงิน- ภาษีโรงเรือน</t>
  </si>
  <si>
    <t>สหกรณ์ออมทรัพย์ พนง.</t>
  </si>
  <si>
    <t>สหกรณ์ ออมทรัพย์ครู</t>
  </si>
  <si>
    <t>ธนาคารอาคารสงเคราะห์</t>
  </si>
  <si>
    <t>กฌ</t>
  </si>
  <si>
    <t xml:space="preserve"> -  ธนาคาร   กรุงไทย ออมทรัพย์   เลขที่  314-1-42112-9</t>
  </si>
  <si>
    <t xml:space="preserve"> -  ธนาคาร  ธกส. เผื่อเรียก   เลขที่  850-2-50109-1</t>
  </si>
  <si>
    <t xml:space="preserve"> -  ธนาคาร  ธกส. เผื่อเรียก (สปสช.)   เลขที่  850-2-99239-3</t>
  </si>
  <si>
    <t xml:space="preserve"> -  ธนาคารออมสิน  ประเภทฝากประจำ เลขที่ 3-00001481013</t>
  </si>
  <si>
    <t>รายจ่ายค้างจ่าย</t>
  </si>
  <si>
    <t>เงินฝากกองทุนส่งเสริมกิจการเทศบาล</t>
  </si>
  <si>
    <t>เจ้าหนี้เงินกู้ เงินกู้ ก.ส.ท.</t>
  </si>
  <si>
    <t>เงินอุดหนุนเฉพาะกิจค้างจ่าย</t>
  </si>
  <si>
    <t>เงินอุดหนุนเฉพาะกิจฝากจังหวัด</t>
  </si>
  <si>
    <t>ทรัพย์สินเกิดจากเงินกู้  กองทุนส่งเสริมกิจการเทศบาล</t>
  </si>
  <si>
    <t>เทศบาลตำบลแสนสุข     อำเภอวารินชำราบ     จังหวัดอุบลราชธานี</t>
  </si>
  <si>
    <t>(ลงชื่อ) ......…………………………..</t>
  </si>
  <si>
    <t xml:space="preserve"> -  ธนาคารกรุงไทย กระแสรายวัน เลขที่   314-6-02024-6</t>
  </si>
  <si>
    <t>(ลงชื่อ)..................................................</t>
  </si>
  <si>
    <t xml:space="preserve">         ( นางเพ็ญศรี  ศรีเข้ม )</t>
  </si>
  <si>
    <t xml:space="preserve">           ผู้อำนวยการกองคลัง</t>
  </si>
  <si>
    <t>( ลงชื่อ)....................................................</t>
  </si>
  <si>
    <t>ธนาคาร ธกส.</t>
  </si>
  <si>
    <t>ลูกหนี้เงิน- ภาษีป้าย</t>
  </si>
  <si>
    <t>120200</t>
  </si>
  <si>
    <t>130600</t>
  </si>
  <si>
    <t>220101</t>
  </si>
  <si>
    <t>ลูกหนี้เงินยืมเงินงบประมาณ</t>
  </si>
  <si>
    <t>ลูกหนี้เศรษฐกิจชุมชน</t>
  </si>
  <si>
    <t>ลูกหนี้ - ภาษีโรงเรือน</t>
  </si>
  <si>
    <t>ลูกหนี้ - ภาษีบำรุงท้องที่</t>
  </si>
  <si>
    <t>ลูกหนี้ - ภาษีป้าย</t>
  </si>
  <si>
    <t>เงินอุดหนุนเฉพาะกิจ -ด้านพัฒนาชุมชน</t>
  </si>
  <si>
    <t>เงินอุดหนุนเฉพาะกิจ -ด้านการศึกษา</t>
  </si>
  <si>
    <t xml:space="preserve">งบกลาง </t>
  </si>
  <si>
    <t>ลูกหนี้เงินเศรษฐกิจชุมชน</t>
  </si>
  <si>
    <t>ลูกหนี้เงิน- บำรุงท้องที่</t>
  </si>
  <si>
    <t>ภาษีหักหน้าฎีกา</t>
  </si>
  <si>
    <t>120100</t>
  </si>
  <si>
    <t>110604</t>
  </si>
  <si>
    <t>110601</t>
  </si>
  <si>
    <t>110602</t>
  </si>
  <si>
    <t>110603</t>
  </si>
  <si>
    <t>210300</t>
  </si>
  <si>
    <t>14000</t>
  </si>
  <si>
    <t>อำเภอวารินชำราบ       จังหวัดอุบลราชธานี</t>
  </si>
  <si>
    <t xml:space="preserve">            ผู้อำนวยการกองคลัง                                   ปลัดเทศบาลตำบลแสนสุข</t>
  </si>
  <si>
    <t xml:space="preserve">  ( นายทรงกรด  ไกรกังวาร )</t>
  </si>
  <si>
    <t xml:space="preserve">                                        ( นางเพ็ญศรี  ศรีเข้ม )</t>
  </si>
  <si>
    <t xml:space="preserve">                                     ผู้อำนวยการกองคลัง</t>
  </si>
  <si>
    <t xml:space="preserve">                                       ( นายจรูญ  เจือจันทร์ )</t>
  </si>
  <si>
    <t xml:space="preserve">                                   ปลัดเทศบาลตำบลแสนสุข</t>
  </si>
  <si>
    <t xml:space="preserve"> -  ธนาคารออมสิน  ประเภทออมทรัพย์ เลขที่ 020053879175 </t>
  </si>
  <si>
    <t>เงินอุดหนุนเฉพาะกิจ - เบี้ยผู้สูงอายุ</t>
  </si>
  <si>
    <t>เงินอุดหนุนเฉพาะกิจ - เบี้ยผู้พิการ</t>
  </si>
  <si>
    <t>เงินอุดหนุนเฉพาะกิจ - เงินเดือนครู</t>
  </si>
  <si>
    <t>เงินอุดหนุนเฉพาะกิจ - ค่าจ้างชั่วคราว</t>
  </si>
  <si>
    <t>เงินอุดหนุนเฉพาะกิจ - เงินสมทบประกันสังคม</t>
  </si>
  <si>
    <t>เงินอุดหนุนเฉพาะกิจ - ค่าตอบแทน</t>
  </si>
  <si>
    <t>ธนาคารออมสิน สาขาวารินชำราบ</t>
  </si>
  <si>
    <t>ธนาคารออมสิน  สาขาถนนสถลมาร์ค</t>
  </si>
  <si>
    <t>ภาษีโรงเรือนและที่ดิน</t>
  </si>
  <si>
    <t>ภาษีบำรุงท้องที่</t>
  </si>
  <si>
    <t>ภาษีป้าย</t>
  </si>
  <si>
    <t>ค่าเช่าและบริการหอประชุมศาลาแสนสุข</t>
  </si>
  <si>
    <t xml:space="preserve"> -  ธนาคาร   กรุงไทย ออมทรัพย์   เลขที่  981-1-22177-4</t>
  </si>
  <si>
    <t xml:space="preserve"> -  ธนาคารกรุงไทย กระแสรายวัน เลขที่   981-1-22190-1</t>
  </si>
  <si>
    <t>(ลงชื่อ)……………………………..           (ลงชื่อ).………………………………......</t>
  </si>
  <si>
    <t xml:space="preserve">           ( นางเพ็ญศรี  ศรีเข้ม )                                      ( นายจรูญ  เจือจันทร์ )</t>
  </si>
  <si>
    <t xml:space="preserve">งบทดลอง </t>
  </si>
  <si>
    <t>ประจำเดือน ตุลาคม 2555</t>
  </si>
  <si>
    <t>ปีงบประมาณ     2556</t>
  </si>
  <si>
    <t>เจ้าหนี้ ก.ส.ท.</t>
  </si>
  <si>
    <t xml:space="preserve">                          ( นายทรงกรด  ไกรกังวาร )</t>
  </si>
  <si>
    <t>ทรัพย์สินเกิดจากเงินกู้ ก.ส.ท.</t>
  </si>
  <si>
    <t>จำนวนเงิน</t>
  </si>
  <si>
    <t>ผู้จัดทำ</t>
  </si>
  <si>
    <t>.</t>
  </si>
  <si>
    <t>งบกลาง (ก)</t>
  </si>
  <si>
    <t>7510000</t>
  </si>
  <si>
    <t xml:space="preserve">                                                                                  เทศบาลตำบลแสนสุข                        (รายละเอียดแนบเงินรับฝาก)</t>
  </si>
  <si>
    <t xml:space="preserve">รายละเอียดค้ำประกันสัญญา </t>
  </si>
  <si>
    <t>ลำดับ</t>
  </si>
  <si>
    <t>ชื่อผู้รับจ้าง</t>
  </si>
  <si>
    <t>ครบกำหนด</t>
  </si>
  <si>
    <t>โครงการขยายผิวจราจร คสล.พร้อมวางท่อระบายน้ำ</t>
  </si>
  <si>
    <t>หจก.ชัยเงินการช่าง</t>
  </si>
  <si>
    <t>หจก.ตั้งเซ่งฮวดวิศวกรรม</t>
  </si>
  <si>
    <t>โครงการขยายผิวจราจร คสล.พร้อมวางท่อระบายน้ำ ม.19</t>
  </si>
  <si>
    <t>ร้าน ส.การช่าง</t>
  </si>
  <si>
    <t>ร้านอัศวโชคพาณิชย์</t>
  </si>
  <si>
    <t>หจก.ศิวพัสการช่าง</t>
  </si>
  <si>
    <t>โครงการขยายผิวจราจร คสล.พร้อมวางท่อระบายน้ำ ม.7</t>
  </si>
  <si>
    <t xml:space="preserve"> 6 ก.พ. 57</t>
  </si>
  <si>
    <t>โครงการก่อสร้างสำนักทะเบียนราษฎร์ ม.16</t>
  </si>
  <si>
    <t>โครงการขยายผิวจราจร คสล. ม.17 (เส้นกลางบ้าน</t>
  </si>
  <si>
    <t xml:space="preserve"> 7 ก.พ. 57</t>
  </si>
  <si>
    <t>โครงการก่อสร้างสถานธนานุบาล ทต.แสนสุข</t>
  </si>
  <si>
    <t>ขยายผิวจราจร คสล. ม.7</t>
  </si>
  <si>
    <t xml:space="preserve"> 21 ก.พ. 57</t>
  </si>
  <si>
    <t>ร้าน ส การช่าง</t>
  </si>
  <si>
    <t xml:space="preserve"> 15 มี.ค. 57</t>
  </si>
  <si>
    <t>ต่อเติมศาลากลางบ้าน  ม.16  บ้านไม้ค้าง</t>
  </si>
  <si>
    <t xml:space="preserve"> 18 เม.ย.57</t>
  </si>
  <si>
    <t>ขยายผิวจราจร คสล. ม.5บ้านธาตุ</t>
  </si>
  <si>
    <t xml:space="preserve"> 4 เม.ย. 57</t>
  </si>
  <si>
    <t>ขยายผิวจราจร คสล.พร้อมวางท่อระบายน้ำ ม.5</t>
  </si>
  <si>
    <t xml:space="preserve"> 5 เม.ย.57</t>
  </si>
  <si>
    <t>ก่อสร้างถนน คสล ม.14 บ้านดอนหนองบัว</t>
  </si>
  <si>
    <t>จัดทำป้ายบอกชื่อถนน ม.6 บ้านน้ำคำ</t>
  </si>
  <si>
    <t>ร้านพีพีการาจ</t>
  </si>
  <si>
    <t>จัดทำป้ายบอกชื่อถนน ม.7 บ้านก่อใน</t>
  </si>
  <si>
    <t xml:space="preserve"> 15 มิ.ย. 57</t>
  </si>
  <si>
    <t>ขยายผิวจราจร คสล. ม.13 บ้านห้วยไผ่</t>
  </si>
  <si>
    <t xml:space="preserve"> 2 เม.ย. 57</t>
  </si>
  <si>
    <t>โครงการก่อสร้างถนน คสล. ม.17 บ้านคำแสนราช</t>
  </si>
  <si>
    <t xml:space="preserve"> 10 เม.ย. 57</t>
  </si>
  <si>
    <t>โครงการก่อสร้างหลังคาคลุมเครื่องออกกำลังกาย ม.2</t>
  </si>
  <si>
    <t xml:space="preserve"> 10 พ.ค. 57</t>
  </si>
  <si>
    <t>โครงการก่อสร้างถนน คสล. ม.15 บ้านธาตุนอก</t>
  </si>
  <si>
    <t xml:space="preserve"> 14 พ.ค. 57</t>
  </si>
  <si>
    <t>โครงการก่อสร้างถนน คสล. ม.7 บ้านหนองผาสุก</t>
  </si>
  <si>
    <t xml:space="preserve"> 8 พ.ค. 57</t>
  </si>
  <si>
    <t>โครงการก่อสร้างโรงอาหารโรงเรียนเทศบาลแสนสุข</t>
  </si>
  <si>
    <t xml:space="preserve"> 12 มิ.ย. 57</t>
  </si>
  <si>
    <t>โครงการระบบประปา</t>
  </si>
  <si>
    <t xml:space="preserve"> 24 พ.ค. 57</t>
  </si>
  <si>
    <t>โครงการขยายผิวจราจร คสล. ซ่อมท่อระบายน้ำ ม.2</t>
  </si>
  <si>
    <t xml:space="preserve"> 25 พ.ค. 57</t>
  </si>
  <si>
    <t>โครงการวางท่อระบายน้ำ ม.2</t>
  </si>
  <si>
    <t xml:space="preserve"> 8 มิ.ย. 57</t>
  </si>
  <si>
    <t>โครงการก่อสร้างถนน คสล.พร้อมวางท่อระบายน้ำ ม.2</t>
  </si>
  <si>
    <t xml:space="preserve"> 13 มิ.ย. 57</t>
  </si>
  <si>
    <t>โครงการก่อสร้างถนน คสล. ม.4</t>
  </si>
  <si>
    <t xml:space="preserve"> 6 มิ.ย. 57</t>
  </si>
  <si>
    <t>โครงการขยายผิวจราจรคสล. ม.9</t>
  </si>
  <si>
    <t xml:space="preserve"> 11 มิ.ย. 57</t>
  </si>
  <si>
    <t>โครงการซ่อมแซมถนน คสล.ม.10 (บ้านเกษตรสมบูรณ์)</t>
  </si>
  <si>
    <t>โครงการขยายผิวจราจรพร้อมวางท่อ ม.1</t>
  </si>
  <si>
    <t xml:space="preserve"> 10 ก.ค. 57</t>
  </si>
  <si>
    <t>โครงการก่อสร้างถนน คสล. ม.9 บ้านหนองผาสุข</t>
  </si>
  <si>
    <t xml:space="preserve"> 9 ก.ค. 57</t>
  </si>
  <si>
    <t>โครงการก่อสร้างถนน คสล. ม.7  บ้านก่อใน</t>
  </si>
  <si>
    <t xml:space="preserve"> 25 มิ.ย. 57</t>
  </si>
  <si>
    <t xml:space="preserve">โครงการก่อสร้าง ถนน คสล. ม .7 </t>
  </si>
  <si>
    <t xml:space="preserve"> 27 มิ.ย. 57</t>
  </si>
  <si>
    <t xml:space="preserve"> 23 ก.ค. 57</t>
  </si>
  <si>
    <t xml:space="preserve">โครงการขยายผิวจราจร คสล. พร้อมวางท่อระบาย </t>
  </si>
  <si>
    <t xml:space="preserve"> 3 ต.ค. 57</t>
  </si>
  <si>
    <t>โครงการปรับปรุงตลาดชุมชน ม.2</t>
  </si>
  <si>
    <t>โครงการซ่อมแซม ถนน คสล. ม.10 ซอยเกษตรสมบูรณ์ 12</t>
  </si>
  <si>
    <t>โครงการก่อสร้างถนน คสล. ม.14 บ้านดอนหนองบัว</t>
  </si>
  <si>
    <t>โครงการซ่อมแซมถนน คสล. ม.2 บ้านแสนสุข</t>
  </si>
  <si>
    <t>โครงการก่อสร้างทางเท้ารอบหอประชุม ทต.แสนสุข ม.2</t>
  </si>
  <si>
    <t xml:space="preserve"> 30 ก.ค. 57</t>
  </si>
  <si>
    <t>โครงการซ่อมแซมถนน คสล. ม.1 บ้านคำเจริญ</t>
  </si>
  <si>
    <t>โครงการขยายผิวจราจร คสล. ม.9 (เชื่อมถนนเทศบาล 12)</t>
  </si>
  <si>
    <t xml:space="preserve"> 21 ก.ย. 57</t>
  </si>
  <si>
    <t>โครงการเฉลิมพระเกียรติบ้านท้องถิ่นเทิดไท้องค์ราชนี  80 พรรษา</t>
  </si>
  <si>
    <t>โครงการก่อสร้าง ถนน คสล. ม.10  เกษตรสมบูรณ์  8</t>
  </si>
  <si>
    <t xml:space="preserve"> 30 ส.ค. 57</t>
  </si>
  <si>
    <t>ขยายผิวจราจร คสล.พร้อมวางท่อระบายน้ำ ม.17  ซ.ประชาแสนสุข23</t>
  </si>
  <si>
    <t xml:space="preserve"> 9 ต.ค. 57</t>
  </si>
  <si>
    <t>โครงการวางท่อระบายน้ำ  ม.1  ถ.แสงเจริญ - ม.7 บ้านคำนางรวย</t>
  </si>
  <si>
    <t xml:space="preserve"> 2 ต.ค. 57</t>
  </si>
  <si>
    <t>โครงการต่อเติมสำนักทะเบียนราษฎร์เทศบาลตำบลแสนสุข</t>
  </si>
  <si>
    <t xml:space="preserve"> 12 ต.ค. 57</t>
  </si>
  <si>
    <t>โครงการก่อสร้างถนน คสล. ม.3 บ้านหนองหว้า</t>
  </si>
  <si>
    <t xml:space="preserve"> 11 ต.ค. 57</t>
  </si>
  <si>
    <t>โครงการก่อสร้างลาน คสล. หน้าอาคารเรียน ร.ร.เทศบาลฯ</t>
  </si>
  <si>
    <t>โครงการจัดทำป้ายบอกชื่อถนน ม.5, ม.8, ม.15</t>
  </si>
  <si>
    <t>ร้าน พี.พี. การราจ</t>
  </si>
  <si>
    <t>โครงการก่อสร้างลาน คสล. หน้าหอประชุม ร.ร.เทศบาลฯ</t>
  </si>
  <si>
    <t>โครงการต่อเติมสถานธนานุบาลเทศบาลตำบลแสนสุข</t>
  </si>
  <si>
    <t>โครงการก่อสร้างถนน คสล. ม.1 (ซอยคำเจริญ )</t>
  </si>
  <si>
    <t xml:space="preserve">ขยายผิวจราจร คสล.พร้อมวางท่อระบายน้ำ ม.4  บ.ไม้ค้าง </t>
  </si>
  <si>
    <t>(นางอาภิสญา  กุลบุญญา)</t>
  </si>
  <si>
    <t>นักวิชาการคลัง</t>
  </si>
  <si>
    <t>โครงการก่อสร้างลานจอดรถขยะมูลฝอย ม.11</t>
  </si>
  <si>
    <t>โครงการก่อสร้างถนน คสล. ม.8 (ซอยอยู่ดี )</t>
  </si>
  <si>
    <t xml:space="preserve">โครงการขยายผิวจราจร คสล.พร้อมวางท่อระบายน้ำ ม.9 </t>
  </si>
  <si>
    <t>โครงการถนน คสล. ม.3 (ซอยหนองหว้า 6)</t>
  </si>
  <si>
    <t>หจก.อุบลธนวัฒน์</t>
  </si>
  <si>
    <t>โครงการวางท่อระบายน้ำเชื่อมระหว่าง ม.2 - ม.17 - ม.19</t>
  </si>
  <si>
    <t>เงินอุดหนุนเฉพาะกิจ - โครงการสนับสนุน คชจ.ในการจัดการศึกษาฯ</t>
  </si>
  <si>
    <t>โครงการซ่อมแซมถนน คสล. (ถนนเอกมงคล) ม.9</t>
  </si>
  <si>
    <t>โครงการซ่อมแซมถนน คสล. (ถนนมงคลเกษมสุข) ม.18</t>
  </si>
  <si>
    <t>โครงการก่อสร้างลานเอนกประสงค์  คสล. ม.6 )</t>
  </si>
  <si>
    <t>เงินอุดหนุนเฉพาะกิจ - ค่าวัสดุการศึกษา</t>
  </si>
  <si>
    <t>เงินอุดหนุนเฉพาะกิจ - ค่าใช้สอย (แก้ไขปัญหายาเสพติด)</t>
  </si>
  <si>
    <t>ค่าใช้สอย (ก)</t>
  </si>
  <si>
    <t>7532000</t>
  </si>
  <si>
    <t>ว/ด/ป</t>
  </si>
  <si>
    <t>โครงการซ่อมแซมถนน คสล. ม.9</t>
  </si>
  <si>
    <t>โครงการก่อสร้างถนน คสล. เชื่อมระหว่าง ม.8 - ม.7</t>
  </si>
  <si>
    <t>โครงการซ่อมแซมถนน คสล. ม.1</t>
  </si>
  <si>
    <t>โครงการก่อสร้างลานเอนกประสงค์ ม.1</t>
  </si>
  <si>
    <t xml:space="preserve"> หจก.ชัยเงินการช่าง</t>
  </si>
  <si>
    <t>โครงการขยายผิวจราจร คสล.พร้อมวางท่อระบายน้ำ ม.2</t>
  </si>
  <si>
    <t>โครงการก่อสร้างถนน คสล. ม.20</t>
  </si>
  <si>
    <t>โครงการวางท่อระบายน้ำ ม.17</t>
  </si>
  <si>
    <t xml:space="preserve"> บ.แอส เอ็น เดลิสติกส์ จำกัด</t>
  </si>
  <si>
    <t>โครงการซ่อมแซมถนน คสล. ม.13</t>
  </si>
  <si>
    <t>โครงการขยายผิวจราจร ม.10</t>
  </si>
  <si>
    <t>โครงการวางท่อระบายน้ำ ม.1</t>
  </si>
  <si>
    <t>โครงการขยายผิวจราจร คสล.พร้อมวางท่อระบายน้ำ ม.7 ม.20</t>
  </si>
  <si>
    <t>โครงการขยายผิวจราจร คสล. พร้อมวางท่อระบายน้ำ ม.19</t>
  </si>
  <si>
    <t>30000</t>
  </si>
  <si>
    <t xml:space="preserve">  </t>
  </si>
  <si>
    <t>ประจำเดือน มีนาคม  2556</t>
  </si>
  <si>
    <t>ประจำเดือน เมษายน  2556</t>
  </si>
  <si>
    <t>เงินอุดหนุนเฉพาะกิจ - ค่าครุภัณฑ์</t>
  </si>
  <si>
    <t>หจก.สิวพัสการช่าง</t>
  </si>
  <si>
    <t>โครงการก่อสร้างศาลาเอนกประสงค์ ม.4 บ้านไม้ค้าง</t>
  </si>
  <si>
    <t>โครงการขยายผิวจราจร คสล. ม.13 บ้านห้วยไผ่(ซ.3)</t>
  </si>
  <si>
    <t>โครงการจัดซื้อเครื่องเสียงหอประชุมเทศบาลตำบลแสนสุข</t>
  </si>
  <si>
    <t xml:space="preserve"> ร้าน โอ.ที.เซ็นเตอร์</t>
  </si>
  <si>
    <t>โครงการจัดซื้อเครื่องรับ-ส่งวิทยุชนิดมือถือ</t>
  </si>
  <si>
    <t>ร้าน เจ เอช เวอร์วิส</t>
  </si>
  <si>
    <t>โครงการขยายผิวจราจร คสล. ม.12 บ้านหนองหมากแข้ง</t>
  </si>
  <si>
    <t xml:space="preserve"> ร้าน ส.การช่าง</t>
  </si>
  <si>
    <t>โครงการขยายผิวจราจร คสล.พร้อมวางท่อระบายน้ำ ม.10</t>
  </si>
  <si>
    <t>ร่น ส.การช่าง</t>
  </si>
  <si>
    <t>โครงการก่อสร้างถนน คสล. ม.16 บ้านไม้ค้างตก</t>
  </si>
  <si>
    <t>หจก.วารินทร์วุฒิพันธ์ก่อสร้าง</t>
  </si>
  <si>
    <t>โครงการก่อสร้างถนน คสล.อม.14 ซ.บ้านเลขที่ 102</t>
  </si>
  <si>
    <t>โครงการต่อเติมศาลากลางบ้าน ม.7</t>
  </si>
  <si>
    <t>โครงการขยายผิวจราจร คสล.เชื่อมระหว่าง ม.10-ม.17</t>
  </si>
  <si>
    <t>โครงการก่อสร้างถนน คสล. ซ.บ้านเลขที่ 233 ม.15</t>
  </si>
  <si>
    <t>โครงการก่อสร้างถนน คสล. พร้อมวางท่อระบายน้ำ ม.15</t>
  </si>
  <si>
    <t xml:space="preserve"> หจก.ศิวพัสการช่าง</t>
  </si>
  <si>
    <t xml:space="preserve"> 23 เม.ย. 56</t>
  </si>
  <si>
    <t>ลูกหนี้เงินขาดบัญชี</t>
  </si>
  <si>
    <t>110607</t>
  </si>
  <si>
    <t>แบบ กค.2</t>
  </si>
  <si>
    <t>ชื่อ - สกุล</t>
  </si>
  <si>
    <t>ลูกหนี้ปี 2553</t>
  </si>
  <si>
    <t>เพิ่ม</t>
  </si>
  <si>
    <t>บ.เซ็นเตอร์ไทร์  จำกัด</t>
  </si>
  <si>
    <t>รวมลูกหนี้คงเหลือปี  2553</t>
  </si>
  <si>
    <t>ลูกหนี้ปี  2554</t>
  </si>
  <si>
    <t>บ.เซ็นเตอร์ไทร์</t>
  </si>
  <si>
    <t>รวมลูกหนี้คงเหลือปี  2554</t>
  </si>
  <si>
    <t>ลูกหนี้ปี  2555</t>
  </si>
  <si>
    <t>รวมลูกหนี้คงเหลือปี  2555</t>
  </si>
  <si>
    <t>รวมลูกหนี้คงเหลือทั้งสิ้น</t>
  </si>
  <si>
    <t>"</t>
  </si>
  <si>
    <t>ประจำเดือน พฤษภาคม  2556</t>
  </si>
  <si>
    <t>โครงการซ่อมแซมรั้วโรงเรียนเทศบาลแสนสุข</t>
  </si>
  <si>
    <t>โครงการปรับปรุงโรงอาหาร ร.ร.เทศบาลแสนสุข</t>
  </si>
  <si>
    <t>โครงการจัดทำป้ายบอกชื่อถนน ม.10</t>
  </si>
  <si>
    <t>โครงการจัดทำป้ายบอกชื่อถนน ม.12</t>
  </si>
  <si>
    <t>โครงการซ่อมแซมถนน คสล. ม.1 เส้นกลางบ้านคำเจริญ</t>
  </si>
  <si>
    <t>ประจำเดือน มิถุนายน  2556</t>
  </si>
  <si>
    <t>โครงการก่อสร้างถนน คสล. ซ.15 ม.1</t>
  </si>
  <si>
    <t>โครงการก่อสร้างถนน คสล.  ม.1 ซ.6 คำเจริญ</t>
  </si>
  <si>
    <t>โครงการก่อสร้างถนน คสล.  ม.9</t>
  </si>
  <si>
    <t>โครงการก่อสร้างขยายผิวจราจร คสล. ม.2</t>
  </si>
  <si>
    <t>โครงการซ่อมแซมถนน คสล. ม.16</t>
  </si>
  <si>
    <t>โครงการก่อสร้างถนน คสล. บ้านคำเจริญ ซ.บ้านเลขที่ 258</t>
  </si>
  <si>
    <t>หจก.ศศิพรวิศวกรรม</t>
  </si>
  <si>
    <t>ประจำเดือน กรกฎาคม  2556</t>
  </si>
  <si>
    <t xml:space="preserve"> -  ธนาคาร  ธกส. เผื่อเรียก เลขที่  850-2-65453-3</t>
  </si>
  <si>
    <t>โครงการซ่อมแซมถนน คสล. ม.2</t>
  </si>
  <si>
    <t>โครงการขยายผิวจราจร คสล. ม.15</t>
  </si>
  <si>
    <t>โครงการขยายผิวจราจร คสล. ม.19 (ซ.ประชาแสนสุข 17/1</t>
  </si>
  <si>
    <t>โครงการซ่อมแซมถนน คสล. ม.18 บ้านมงคลเจริญสุข</t>
  </si>
  <si>
    <t>โครงการซื้อคอมพิวเตอร์</t>
  </si>
  <si>
    <t>บริษัท ซี.ซี.คอมพิวเตอร์ฯ</t>
  </si>
  <si>
    <t>โครงการซ่อมแซมถนน คสล. ม.1 (เส้นกลางบ้าน)</t>
  </si>
  <si>
    <t>โครงการซ่อมแซมถนน คสล. ม.8</t>
  </si>
  <si>
    <t>ขยายผิวจราจรคสล.พร้อมวางท่อระบายน้ำม.11 ซ.ประชาแสนสุข10</t>
  </si>
  <si>
    <t>โครงการก่อสร้างสถานที่แปรงฟันและล้างมือ ร.ร.เทศบาลฯ</t>
  </si>
  <si>
    <t>โครงการก่อสร้างทางเดินรอบสนามฟุตบอล ร.ร.เทศบาลฯ</t>
  </si>
  <si>
    <t xml:space="preserve">โครงการวางท่อระบายน้ำ ม.13 บ้านห้วยไผ่ </t>
  </si>
  <si>
    <t>โครงการก่อสร้างลานเอนกประสงค์ คสล. ม.16</t>
  </si>
  <si>
    <t xml:space="preserve">โครงการก่อสร้างถนน คสล. ม.1 บ้เนคำเจริญ </t>
  </si>
  <si>
    <t>โครงการก่อสร้างลานเอนกประสงค์ คสล. ม.9</t>
  </si>
  <si>
    <t>โครงการซ่อมแซมฝ้าเพดานหอประชุมเทศบาลฯ</t>
  </si>
  <si>
    <t>โครงการปรับปรุงและจัดทำแผนที่ภาษีและทะเบียนฯ</t>
  </si>
  <si>
    <t>ประจำเดือน สิงหาคม  2556</t>
  </si>
  <si>
    <t>เงินเดือน (ก)</t>
  </si>
  <si>
    <t>7520000</t>
  </si>
  <si>
    <t>ค่าจ้างชั่วคราว (ก)</t>
  </si>
  <si>
    <t>โครงการซ่อมแซมถนน คสล. ม.1(เส้นกลางบ้าน)</t>
  </si>
  <si>
    <t>6 ก.ค 2557</t>
  </si>
  <si>
    <t xml:space="preserve"> 7 ส.ค.57</t>
  </si>
  <si>
    <t xml:space="preserve"> 17 ก.ค. 57</t>
  </si>
  <si>
    <t xml:space="preserve"> 20 ก.ค. 57</t>
  </si>
  <si>
    <t xml:space="preserve"> 18 ก.ค. 57</t>
  </si>
  <si>
    <t xml:space="preserve"> 11 ก.ย. 56</t>
  </si>
  <si>
    <t xml:space="preserve"> 2 ม.ค. 58</t>
  </si>
  <si>
    <t xml:space="preserve"> 19 ต.ค. 57</t>
  </si>
  <si>
    <t xml:space="preserve"> 6 พ.ย. 57</t>
  </si>
  <si>
    <t xml:space="preserve"> 19 ธ.ค. 57</t>
  </si>
  <si>
    <t xml:space="preserve"> พ.ย. 57</t>
  </si>
  <si>
    <t xml:space="preserve"> 11 ธ.ค. 57</t>
  </si>
  <si>
    <t xml:space="preserve"> 6 ธ.ค. 57</t>
  </si>
  <si>
    <t xml:space="preserve"> 24 ธ.ค. 57</t>
  </si>
  <si>
    <t xml:space="preserve"> 25 ธ.ค. 57</t>
  </si>
  <si>
    <t xml:space="preserve"> 23 พ.ย. 57</t>
  </si>
  <si>
    <t xml:space="preserve"> 1 มี.ค. 58</t>
  </si>
  <si>
    <t xml:space="preserve"> 26 ธ.ค. 57</t>
  </si>
  <si>
    <t xml:space="preserve"> 15 ม.ค. 58</t>
  </si>
  <si>
    <t xml:space="preserve"> 16 ม.ค. 58</t>
  </si>
  <si>
    <t xml:space="preserve"> 11 ม.ค. 58</t>
  </si>
  <si>
    <t xml:space="preserve"> 22 ม.ค. 57</t>
  </si>
  <si>
    <t xml:space="preserve"> 11 ก.พ. 58</t>
  </si>
  <si>
    <t xml:space="preserve"> 6 ก.พ. 58</t>
  </si>
  <si>
    <t xml:space="preserve"> 27 ก.พ. 57</t>
  </si>
  <si>
    <t xml:space="preserve"> 5 มี.ค. 58</t>
  </si>
  <si>
    <t xml:space="preserve"> 19 มี.ค. 58</t>
  </si>
  <si>
    <t xml:space="preserve"> 20 มี.ค. 58</t>
  </si>
  <si>
    <t xml:space="preserve"> 19 เม.ย. 58</t>
  </si>
  <si>
    <t xml:space="preserve"> 21 มี.ค. 57</t>
  </si>
  <si>
    <t xml:space="preserve"> 30 พ.ค. 58</t>
  </si>
  <si>
    <t xml:space="preserve"> 4  มี.ค. 58</t>
  </si>
  <si>
    <t xml:space="preserve"> 29 พ.ค. 57</t>
  </si>
  <si>
    <t xml:space="preserve"> 2 พ.ค. 58</t>
  </si>
  <si>
    <t xml:space="preserve"> 3 พ.ค. 58</t>
  </si>
  <si>
    <t xml:space="preserve"> 15 พ.ค. 58</t>
  </si>
  <si>
    <t xml:space="preserve"> 16 พ.ค. 58</t>
  </si>
  <si>
    <t xml:space="preserve"> 1 พ.ค. 58</t>
  </si>
  <si>
    <t xml:space="preserve"> 7 พ.ค. 58</t>
  </si>
  <si>
    <t xml:space="preserve"> 30 เม.ย. 58</t>
  </si>
  <si>
    <t xml:space="preserve"> 7 มิ.ย. 58</t>
  </si>
  <si>
    <t xml:space="preserve"> 10 มิ.ย. 58</t>
  </si>
  <si>
    <t xml:space="preserve"> 26 มิ.ย. 58</t>
  </si>
  <si>
    <t xml:space="preserve"> 25 มิ.ย. 58</t>
  </si>
  <si>
    <t xml:space="preserve"> 15 ก.ค. 58</t>
  </si>
  <si>
    <t xml:space="preserve"> 11 ก.ค. 58</t>
  </si>
  <si>
    <t xml:space="preserve"> 5 มิ.ย. 58</t>
  </si>
  <si>
    <t xml:space="preserve"> 18 มิ.ย. 58</t>
  </si>
  <si>
    <t xml:space="preserve"> 21 มิ.ย. 58</t>
  </si>
  <si>
    <t xml:space="preserve"> 14 มิ.ย. 57</t>
  </si>
  <si>
    <t xml:space="preserve"> 17 มิ.ย. 57</t>
  </si>
  <si>
    <t xml:space="preserve"> 31 ก.ค. 58</t>
  </si>
  <si>
    <t xml:space="preserve"> 18 ก.ค. 58</t>
  </si>
  <si>
    <t xml:space="preserve"> 19 ก.ค. 57</t>
  </si>
  <si>
    <t xml:space="preserve"> 24 ก.ค. 57</t>
  </si>
  <si>
    <t xml:space="preserve">  9 ส.ค. 57</t>
  </si>
  <si>
    <t xml:space="preserve">  6 ส.ค. 57</t>
  </si>
  <si>
    <t xml:space="preserve">  8 ส.ค. 57</t>
  </si>
  <si>
    <t>ประจำเดือน กันยายน  2556</t>
  </si>
  <si>
    <t xml:space="preserve">                         </t>
  </si>
  <si>
    <t>เงินอุดหนุนเฉพาะกิจ - ค่าที่ดินและสิ่งก่อสร้าง</t>
  </si>
  <si>
    <t xml:space="preserve">เงินเดือน </t>
  </si>
  <si>
    <t>210200</t>
  </si>
  <si>
    <t>รายจ่ายผลัดส่งใบสำคัญ</t>
  </si>
  <si>
    <t>ปฏิบัติหน้าที่นายกเทศมนตรีตำบลแสนสุข</t>
  </si>
  <si>
    <t xml:space="preserve">       ปฏิบัติหน้าที่ นายกเทศมนตรีตำบลแสนสุข</t>
  </si>
  <si>
    <t xml:space="preserve">                                (ลงชื่อ)………………………………….</t>
  </si>
  <si>
    <t xml:space="preserve">             (ลงชื่อ) ....……………………………</t>
  </si>
  <si>
    <t xml:space="preserve">             (ลงชื่อ) .....……………………………</t>
  </si>
  <si>
    <t xml:space="preserve"> 10 ม.ค. 57</t>
  </si>
  <si>
    <t xml:space="preserve"> 11 ม.ค. 57</t>
  </si>
  <si>
    <t xml:space="preserve"> 16 ม.ค. 57</t>
  </si>
  <si>
    <t xml:space="preserve"> 28 มี.ค. 57</t>
  </si>
  <si>
    <t xml:space="preserve"> 6 ม.ค. 57</t>
  </si>
  <si>
    <t xml:space="preserve"> 23 พ.ค. 57</t>
  </si>
  <si>
    <t xml:space="preserve">  8 มิ.ย. 57</t>
  </si>
  <si>
    <t xml:space="preserve"> 10 ส.ค. 57</t>
  </si>
  <si>
    <t xml:space="preserve"> 5 มี.ค. 57</t>
  </si>
  <si>
    <t xml:space="preserve"> 17 พ.ค. 57</t>
  </si>
  <si>
    <t xml:space="preserve"> 28 มิ.ย. 57</t>
  </si>
  <si>
    <t xml:space="preserve">  19 ส.ค. 57</t>
  </si>
  <si>
    <t xml:space="preserve"> 10 ม.ค. 55</t>
  </si>
  <si>
    <t xml:space="preserve"> 11 ม.ค. 55</t>
  </si>
  <si>
    <t xml:space="preserve"> 18 ม.ค. 55</t>
  </si>
  <si>
    <t xml:space="preserve"> 27 ม.ค. 55</t>
  </si>
  <si>
    <t xml:space="preserve"> 31 ม.ค. 55</t>
  </si>
  <si>
    <t xml:space="preserve"> 23 ก.พ. 55</t>
  </si>
  <si>
    <t xml:space="preserve"> 28 ก.พ. 55</t>
  </si>
  <si>
    <t xml:space="preserve"> 12 มี.ค. 55</t>
  </si>
  <si>
    <t xml:space="preserve"> 15 มี.ค. 55</t>
  </si>
  <si>
    <t xml:space="preserve"> 16 มี.ค. 55</t>
  </si>
  <si>
    <t xml:space="preserve"> 19 มี.ค. 55</t>
  </si>
  <si>
    <t xml:space="preserve"> 2 เม.ย. 55</t>
  </si>
  <si>
    <t xml:space="preserve"> 18 เม.ย.55</t>
  </si>
  <si>
    <t xml:space="preserve"> 19 เม.ย. 55</t>
  </si>
  <si>
    <t xml:space="preserve"> 23 เม.ย. 55</t>
  </si>
  <si>
    <t xml:space="preserve"> 22 พ.ค.55</t>
  </si>
  <si>
    <t xml:space="preserve"> 24 พ.ค. 55</t>
  </si>
  <si>
    <t xml:space="preserve"> 1 มิ.ย. 55</t>
  </si>
  <si>
    <t xml:space="preserve"> 10 ก.ค. 55</t>
  </si>
  <si>
    <t xml:space="preserve">   5 มิ.ย. 55</t>
  </si>
  <si>
    <t xml:space="preserve"> 7 มิ.ย. 55</t>
  </si>
  <si>
    <t xml:space="preserve"> 18 มิ.ย. 55</t>
  </si>
  <si>
    <t xml:space="preserve"> 26 มิ.ย. 55</t>
  </si>
  <si>
    <t xml:space="preserve"> 28 มิ.ย. 55</t>
  </si>
  <si>
    <t xml:space="preserve">  5 ก.ค. 55</t>
  </si>
  <si>
    <t xml:space="preserve"> 9 ก.ค. 55</t>
  </si>
  <si>
    <t xml:space="preserve"> 13 ก.ค. 55</t>
  </si>
  <si>
    <t xml:space="preserve"> 18 ก.ค. 55</t>
  </si>
  <si>
    <t xml:space="preserve"> 23 ก.ค. 55</t>
  </si>
  <si>
    <t xml:space="preserve"> 31 ก.ค. 55</t>
  </si>
  <si>
    <t xml:space="preserve"> 14 ส.ค. 55</t>
  </si>
  <si>
    <t xml:space="preserve"> 15 ส.ค. 55</t>
  </si>
  <si>
    <t xml:space="preserve"> 17 ส.ค. 55</t>
  </si>
  <si>
    <t xml:space="preserve"> 20 ส.ค. 55</t>
  </si>
  <si>
    <t xml:space="preserve"> 27 ก.ย. 55</t>
  </si>
  <si>
    <t xml:space="preserve"> 8 ต.ค. 55</t>
  </si>
  <si>
    <t xml:space="preserve"> 9 ต.ค. 55</t>
  </si>
  <si>
    <t xml:space="preserve"> 18 ต.ค. 55</t>
  </si>
  <si>
    <t xml:space="preserve"> 22 ต.ค. 55</t>
  </si>
  <si>
    <t xml:space="preserve"> 29 ต.ค. 55</t>
  </si>
  <si>
    <t xml:space="preserve"> 30 ต.ค. 55</t>
  </si>
  <si>
    <t xml:space="preserve"> 1 พ.ย. 55</t>
  </si>
  <si>
    <t xml:space="preserve"> 2 พ.ย. 55</t>
  </si>
  <si>
    <t xml:space="preserve"> 5 พ.ย. 55</t>
  </si>
  <si>
    <t xml:space="preserve"> 13 พ.ย. 55</t>
  </si>
  <si>
    <t xml:space="preserve"> 26 พ.ย. 55</t>
  </si>
  <si>
    <t xml:space="preserve"> 4 ธ.ค. 55</t>
  </si>
  <si>
    <t xml:space="preserve"> 12 ธ.ค. 55</t>
  </si>
  <si>
    <t xml:space="preserve"> 18 ธ.ค. 55</t>
  </si>
  <si>
    <t xml:space="preserve"> 21 พ.ค. 56</t>
  </si>
  <si>
    <t xml:space="preserve"> 8 พ.ค. 56</t>
  </si>
  <si>
    <t xml:space="preserve"> 26 เม.ย. 56</t>
  </si>
  <si>
    <t xml:space="preserve"> 22 เม.ย.56</t>
  </si>
  <si>
    <t xml:space="preserve"> 19 เม.ย. 56</t>
  </si>
  <si>
    <t xml:space="preserve"> 18 เม.ย. 56</t>
  </si>
  <si>
    <t xml:space="preserve"> 17 เม.ย. 56</t>
  </si>
  <si>
    <t xml:space="preserve"> 5 เม.ย. 56</t>
  </si>
  <si>
    <t xml:space="preserve"> 4 เม.ย. 56</t>
  </si>
  <si>
    <t xml:space="preserve"> 20 มี.ค. 56</t>
  </si>
  <si>
    <t xml:space="preserve"> 7 มี.ค. 56</t>
  </si>
  <si>
    <t xml:space="preserve"> 4 มี.ค. 56</t>
  </si>
  <si>
    <t xml:space="preserve"> 1 มี.ค. 56</t>
  </si>
  <si>
    <t xml:space="preserve"> 27 ก.พ. 56</t>
  </si>
  <si>
    <t xml:space="preserve"> 18 ก.พ. 56</t>
  </si>
  <si>
    <t xml:space="preserve"> 15 ก.พ. 56</t>
  </si>
  <si>
    <t xml:space="preserve"> 12 ก.พ. 56</t>
  </si>
  <si>
    <t xml:space="preserve"> 24 ม.ค. 56</t>
  </si>
  <si>
    <t xml:space="preserve"> 18 ม.ค. 56</t>
  </si>
  <si>
    <t xml:space="preserve"> 9 ม.ค. 56</t>
  </si>
  <si>
    <t xml:space="preserve"> 4 ม.ค. 56</t>
  </si>
  <si>
    <t xml:space="preserve"> 10 มิ.ย.  56</t>
  </si>
  <si>
    <t xml:space="preserve"> 13 มิ.ย. 56</t>
  </si>
  <si>
    <t xml:space="preserve"> 20 มิ.ย.56</t>
  </si>
  <si>
    <t xml:space="preserve"> 27 มิ.ย.56</t>
  </si>
  <si>
    <t xml:space="preserve"> 11 ก.ค. 56</t>
  </si>
  <si>
    <t xml:space="preserve"> 15 ก.ค. 56</t>
  </si>
  <si>
    <t xml:space="preserve"> 19 ก.ค. 56</t>
  </si>
  <si>
    <t xml:space="preserve"> 25 ก.ค. 56</t>
  </si>
  <si>
    <t xml:space="preserve"> 26 ก.ค. 56</t>
  </si>
  <si>
    <t xml:space="preserve"> 29 ก.ค. 56</t>
  </si>
  <si>
    <t xml:space="preserve"> 13 ส.ค. 56</t>
  </si>
  <si>
    <t>ลูกหนี้ปี 2556</t>
  </si>
  <si>
    <t xml:space="preserve">นายกิตติชัย </t>
  </si>
  <si>
    <t>วานิตเลิศพิบูล</t>
  </si>
  <si>
    <t>เสงี่ยมศักดิ์</t>
  </si>
  <si>
    <t>ไชยา</t>
  </si>
  <si>
    <t>นายถาวร</t>
  </si>
  <si>
    <t>แก้วงามสอง</t>
  </si>
  <si>
    <t>พัฒนา</t>
  </si>
  <si>
    <t>วงศ์คำ</t>
  </si>
  <si>
    <t>สุขนิพิฐพร</t>
  </si>
  <si>
    <t>คะเนแน่น</t>
  </si>
  <si>
    <t>วงษ์หอม</t>
  </si>
  <si>
    <t>ทองคำพิมพ์</t>
  </si>
  <si>
    <t>มาเฉลิม</t>
  </si>
  <si>
    <t>นางมณีรัตน์</t>
  </si>
  <si>
    <t>จันดีปุ่น</t>
  </si>
  <si>
    <t>สาริน</t>
  </si>
  <si>
    <t>จันทร</t>
  </si>
  <si>
    <t>นายศตวรรต</t>
  </si>
  <si>
    <t>แสงประสิทธิ์</t>
  </si>
  <si>
    <t>บุ้งทอง</t>
  </si>
  <si>
    <t>ทุมมากรณ์</t>
  </si>
  <si>
    <t>นายสมภาร</t>
  </si>
  <si>
    <t>อระภาพ</t>
  </si>
  <si>
    <t>นางสาวสุพรรษา</t>
  </si>
  <si>
    <t>สิงหาสิน</t>
  </si>
  <si>
    <t>นางสุวิมล</t>
  </si>
  <si>
    <t>ลาธุลี</t>
  </si>
  <si>
    <t>นายสมชาย</t>
  </si>
  <si>
    <t>โคตรคันทา</t>
  </si>
  <si>
    <t>นายธนสาร</t>
  </si>
  <si>
    <t>วอทอ</t>
  </si>
  <si>
    <t>นางนงนลิน</t>
  </si>
  <si>
    <t>จิตปรีดา</t>
  </si>
  <si>
    <t>นายบรรจง</t>
  </si>
  <si>
    <t>หงษ์เวียงจันทร์</t>
  </si>
  <si>
    <t>นายภูวนัย</t>
  </si>
  <si>
    <t>พรมหล่อ</t>
  </si>
  <si>
    <t>นางมาณี</t>
  </si>
  <si>
    <t>เพิ่มเกษกาญจ์</t>
  </si>
  <si>
    <t>นายวรวุฒิ</t>
  </si>
  <si>
    <t>พิมพ์ทอง</t>
  </si>
  <si>
    <t>นายสมยศ</t>
  </si>
  <si>
    <t>ประกอบสุขราษฎร์</t>
  </si>
  <si>
    <t>พ.ต.ท.สุพจน์</t>
  </si>
  <si>
    <t>ศรีคุณ</t>
  </si>
  <si>
    <t>ผูกพัน</t>
  </si>
  <si>
    <t>น.ส.สิริลักษณ์</t>
  </si>
  <si>
    <t>อุดปรีชาทรัพย์</t>
  </si>
  <si>
    <t>นายสุรชัย</t>
  </si>
  <si>
    <t>แซ่เจียม</t>
  </si>
  <si>
    <t>น.ส.อุบลวรรณ</t>
  </si>
  <si>
    <t>สมทอง</t>
  </si>
  <si>
    <t>นางอุไรรัตน์</t>
  </si>
  <si>
    <t>ศรีสุวรรณ</t>
  </si>
  <si>
    <t>บ.เอสโซ่ประเทศไทย จำกัด (มหาชน)</t>
  </si>
  <si>
    <t>บ.โปรดิจี้คอมแพลค์ จำกัด</t>
  </si>
  <si>
    <t>บมจ.โทเทิ่ลแอ็สเซ็สคอมมูนิเคชั่น</t>
  </si>
  <si>
    <t>บ.ทรูมูฟ จำกัด</t>
  </si>
  <si>
    <t>บ.ปิโตรเลียมน้ำมัน (อุบล) จำกัด</t>
  </si>
  <si>
    <t>หจก.โชคถาวร</t>
  </si>
  <si>
    <t>ร้านคอมพิวเตอร์</t>
  </si>
  <si>
    <t>ร้านโรตีนายหัว</t>
  </si>
  <si>
    <t>ร้านทองเยาวราชสินทวี</t>
  </si>
  <si>
    <t>ร้านบ้านอิ่มอร่อย</t>
  </si>
  <si>
    <t>ร้านเดชากรุ๊ป</t>
  </si>
  <si>
    <t>นายกิตติทัศน์</t>
  </si>
  <si>
    <t>กองพันธ์</t>
  </si>
  <si>
    <t>นายกลม</t>
  </si>
  <si>
    <t>นายขันทิพย์</t>
  </si>
  <si>
    <t>ภูมิสา</t>
  </si>
  <si>
    <t>นายคาญ</t>
  </si>
  <si>
    <t>พวงผกา</t>
  </si>
  <si>
    <t>นางคำหมุน</t>
  </si>
  <si>
    <t>บัวเวช</t>
  </si>
  <si>
    <t>นางคำฝ้าย</t>
  </si>
  <si>
    <t>กรุณา</t>
  </si>
  <si>
    <t>นายคำมี</t>
  </si>
  <si>
    <t>จำปาศรี</t>
  </si>
  <si>
    <t>นางจีระพา</t>
  </si>
  <si>
    <t>คำเสนาะ</t>
  </si>
  <si>
    <t>นายจตุพร</t>
  </si>
  <si>
    <t>ทองทาบ</t>
  </si>
  <si>
    <t>พ.ท.จักริน</t>
  </si>
  <si>
    <t>ป้อมภิทักษ์</t>
  </si>
  <si>
    <t>นางจันทร์หอม</t>
  </si>
  <si>
    <t>คุณสมบัติ</t>
  </si>
  <si>
    <t>นางจันทา</t>
  </si>
  <si>
    <t>บุญสนอง</t>
  </si>
  <si>
    <t>นางจันแปลง</t>
  </si>
  <si>
    <t>นายเฉลิมชัย</t>
  </si>
  <si>
    <t>ศรีอัครพงศ์</t>
  </si>
  <si>
    <t>นายเฉย</t>
  </si>
  <si>
    <t>นูกอง</t>
  </si>
  <si>
    <t>นายชาญชัย</t>
  </si>
  <si>
    <t>ป่งกวาน</t>
  </si>
  <si>
    <t>นางชา</t>
  </si>
  <si>
    <t>คำภานัย</t>
  </si>
  <si>
    <t>นางฐิติมา</t>
  </si>
  <si>
    <t>เวชกุล</t>
  </si>
  <si>
    <t>นายณรงค์</t>
  </si>
  <si>
    <t>ศิริมา</t>
  </si>
  <si>
    <t>นายณฐพล</t>
  </si>
  <si>
    <t>บุญชู</t>
  </si>
  <si>
    <t>นายแดง</t>
  </si>
  <si>
    <t>สีสันต์</t>
  </si>
  <si>
    <t>นางดวงจันทร์</t>
  </si>
  <si>
    <t>มหันต์</t>
  </si>
  <si>
    <t>นางเตือนใจ</t>
  </si>
  <si>
    <t>นิยมวัน</t>
  </si>
  <si>
    <t>ทาระบุตร</t>
  </si>
  <si>
    <t>นายถนอม</t>
  </si>
  <si>
    <t>แก่นภูเลิศ</t>
  </si>
  <si>
    <t>นางถนอม</t>
  </si>
  <si>
    <t>ก้อนคำดี</t>
  </si>
  <si>
    <t>นายเทียนชัย</t>
  </si>
  <si>
    <t>ประกิตชัยวัฒนา</t>
  </si>
  <si>
    <t>นางทองดี</t>
  </si>
  <si>
    <t>ทองเรือง</t>
  </si>
  <si>
    <t>นายทองพูล</t>
  </si>
  <si>
    <t>วงศ์สาลี</t>
  </si>
  <si>
    <t>นางธัญญพร</t>
  </si>
  <si>
    <t>ภูธร</t>
  </si>
  <si>
    <t>นางธนาวรรณ</t>
  </si>
  <si>
    <t>เฟลบิงเงอร์ฟอร์สเตอร์</t>
  </si>
  <si>
    <t>นางนงคราญ</t>
  </si>
  <si>
    <t>เผ่าหอม</t>
  </si>
  <si>
    <t>นางนลินรัตน์</t>
  </si>
  <si>
    <t>อชิรเลิศวงศ์</t>
  </si>
  <si>
    <t>น.ส.นันทวัน</t>
  </si>
  <si>
    <t>โคตรดก</t>
  </si>
  <si>
    <t>น.ส.ณัฐกา</t>
  </si>
  <si>
    <t>ไมตรีพันธ์</t>
  </si>
  <si>
    <t>นางนวลจันทร์</t>
  </si>
  <si>
    <t>ท่อนแก้ว</t>
  </si>
  <si>
    <t>น.ส.บุญเลิศ</t>
  </si>
  <si>
    <t>ครองยุทธ</t>
  </si>
  <si>
    <t>นางบุญซ้อน</t>
  </si>
  <si>
    <t>จีระประภากาญจน์</t>
  </si>
  <si>
    <t>นายบุญเพ็ง</t>
  </si>
  <si>
    <t>ส.อ.บุญศรี</t>
  </si>
  <si>
    <t>จันทร์พวง</t>
  </si>
  <si>
    <t>โทระสา</t>
  </si>
  <si>
    <t>นายบุญเกียรติ</t>
  </si>
  <si>
    <t>มณเทียนอาจ</t>
  </si>
  <si>
    <t>นายบุญกอง</t>
  </si>
  <si>
    <t>ดาสาย</t>
  </si>
  <si>
    <t>นางบุญคุ้ม</t>
  </si>
  <si>
    <t>สายแวว</t>
  </si>
  <si>
    <t>ร.ต.บุญมี</t>
  </si>
  <si>
    <t>นางบัวพา</t>
  </si>
  <si>
    <t>สงวนแก้ว</t>
  </si>
  <si>
    <t>น.ส.บัวขำ</t>
  </si>
  <si>
    <t>ผิวเงินยวง</t>
  </si>
  <si>
    <t>นายประศาสตร์</t>
  </si>
  <si>
    <t>เจริญรอย</t>
  </si>
  <si>
    <t>นายประกาย</t>
  </si>
  <si>
    <t>คูณคำตา</t>
  </si>
  <si>
    <t>นางเปลี่ยน</t>
  </si>
  <si>
    <t>จันทร์หอม</t>
  </si>
  <si>
    <t>น.ส.ประไพศรี</t>
  </si>
  <si>
    <t>ศรีคำภา</t>
  </si>
  <si>
    <t>น.ส.ปราศรัย</t>
  </si>
  <si>
    <t>พานรอง</t>
  </si>
  <si>
    <t>นายประธาน</t>
  </si>
  <si>
    <t>อัญชันภาติ</t>
  </si>
  <si>
    <t>จ.ส.อ.ประมวล</t>
  </si>
  <si>
    <t>ศรีพนากุล</t>
  </si>
  <si>
    <t>นางปนัสวรรณ</t>
  </si>
  <si>
    <t>สังข์ทอง</t>
  </si>
  <si>
    <t>นางปัทมาวดี</t>
  </si>
  <si>
    <t>นายประเสริญ</t>
  </si>
  <si>
    <t>นายผานิตย์</t>
  </si>
  <si>
    <t>ศรีหนันท์</t>
  </si>
  <si>
    <t>นางฝาน</t>
  </si>
  <si>
    <t>ปิ่นทุมา</t>
  </si>
  <si>
    <t>นางพิศมัย</t>
  </si>
  <si>
    <t>พูลเพิ่ม</t>
  </si>
  <si>
    <t>นางไพเริง</t>
  </si>
  <si>
    <t>นายไพบูลย์</t>
  </si>
  <si>
    <t>พวงจำปา</t>
  </si>
  <si>
    <t>นายพิทักษ์</t>
  </si>
  <si>
    <t>ลายประจัก</t>
  </si>
  <si>
    <t>นายไพบูรณ์</t>
  </si>
  <si>
    <t>วงษ์ศรีแก้ว</t>
  </si>
  <si>
    <t>นายเพศ</t>
  </si>
  <si>
    <t>ไพกะเพศ</t>
  </si>
  <si>
    <t>นายพนัส</t>
  </si>
  <si>
    <t>นายพุทธา</t>
  </si>
  <si>
    <t>น.ส.เพ็ญภัสร์</t>
  </si>
  <si>
    <t>ลือเสนาะ</t>
  </si>
  <si>
    <t>นายไพบูลญ์</t>
  </si>
  <si>
    <t>ดวงชัย</t>
  </si>
  <si>
    <t>นายพรม</t>
  </si>
  <si>
    <t>ภาระคุณ</t>
  </si>
  <si>
    <t>นางพรนภา</t>
  </si>
  <si>
    <t>แก่นเกษม</t>
  </si>
  <si>
    <t>ลายประจักษ์</t>
  </si>
  <si>
    <t>นางฟ้ากัน</t>
  </si>
  <si>
    <t>วงษ์แก้ว</t>
  </si>
  <si>
    <t>นางภัทรา</t>
  </si>
  <si>
    <t>วะนะสนธิ์</t>
  </si>
  <si>
    <t>นายมหินธร</t>
  </si>
  <si>
    <t>เลือกนารี</t>
  </si>
  <si>
    <t>นางมะลัย</t>
  </si>
  <si>
    <t>ราชเสนา</t>
  </si>
  <si>
    <t>นางมี</t>
  </si>
  <si>
    <t>ทองคำ</t>
  </si>
  <si>
    <t>นางมลิวัลย์</t>
  </si>
  <si>
    <t>นางระเบียบ</t>
  </si>
  <si>
    <t>จำใจ</t>
  </si>
  <si>
    <t>นางรักขณา</t>
  </si>
  <si>
    <t>นางระพีภรณ์</t>
  </si>
  <si>
    <t>นางรบ</t>
  </si>
  <si>
    <t>นายลา</t>
  </si>
  <si>
    <t>นางลดาวัลย์</t>
  </si>
  <si>
    <t>บุญคุ้ม</t>
  </si>
  <si>
    <t>นายไลย</t>
  </si>
  <si>
    <t xml:space="preserve">ศรีภา </t>
  </si>
  <si>
    <t>นายเลือน</t>
  </si>
  <si>
    <t>บังศรี</t>
  </si>
  <si>
    <t>นางวาสนา</t>
  </si>
  <si>
    <t>แท่งทอง</t>
  </si>
  <si>
    <t>นางวันเพ็ญ</t>
  </si>
  <si>
    <t>น.ส.วิรัตน์</t>
  </si>
  <si>
    <t>นางวิไล</t>
  </si>
  <si>
    <t>ศรีวิชัย</t>
  </si>
  <si>
    <t>นายวิรัตน์</t>
  </si>
  <si>
    <t>นามเรืองศรี</t>
  </si>
  <si>
    <t>พลบุรี</t>
  </si>
  <si>
    <t>นายวิชัย</t>
  </si>
  <si>
    <t>ศรีคำถา</t>
  </si>
  <si>
    <t>นางวิภาศิริ</t>
  </si>
  <si>
    <t>ชลธี</t>
  </si>
  <si>
    <t>มิ่งมล</t>
  </si>
  <si>
    <t>น.ส.วรวลัญช์</t>
  </si>
  <si>
    <t>ศิริปรุ</t>
  </si>
  <si>
    <t>นายวิวัฒน์</t>
  </si>
  <si>
    <t>ทองชัยประสิทธ์</t>
  </si>
  <si>
    <t>นางวิไลวรรณ</t>
  </si>
  <si>
    <t>อรุณยะเดช</t>
  </si>
  <si>
    <t>นางสุวณี</t>
  </si>
  <si>
    <t>นิกรพันธ์</t>
  </si>
  <si>
    <t>แก้งสง่า</t>
  </si>
  <si>
    <t>นายศิริวัฒน์</t>
  </si>
  <si>
    <t>สัมฤทธิ์</t>
  </si>
  <si>
    <t>นางศิริพร</t>
  </si>
  <si>
    <t>นายศักดิ์ดา</t>
  </si>
  <si>
    <t>น.ส.ศิริพงษ์</t>
  </si>
  <si>
    <t>พิมพ์พัฒน์</t>
  </si>
  <si>
    <t>นายศักรินทร์</t>
  </si>
  <si>
    <t>ทองอินทร์</t>
  </si>
  <si>
    <t>นางสมยง</t>
  </si>
  <si>
    <t>ลาสุธรรม</t>
  </si>
  <si>
    <t>น.ส.สุนิสา</t>
  </si>
  <si>
    <t>นายสงวน</t>
  </si>
  <si>
    <t>นายสำรอง</t>
  </si>
  <si>
    <t>ช่วงโชติ</t>
  </si>
  <si>
    <t>นายสุพจน์</t>
  </si>
  <si>
    <t>น.ส.แสวง</t>
  </si>
  <si>
    <t>ทองท่อน</t>
  </si>
  <si>
    <t>นายสิงห์</t>
  </si>
  <si>
    <t>ป้องคำถวย</t>
  </si>
  <si>
    <t>นายสาคร</t>
  </si>
  <si>
    <t>คำทวี</t>
  </si>
  <si>
    <t>นายสมจิตร</t>
  </si>
  <si>
    <t>คำบุญมา</t>
  </si>
  <si>
    <t>นางสำราญ</t>
  </si>
  <si>
    <t>ผ่องแผ้ว</t>
  </si>
  <si>
    <t>นายสมพร</t>
  </si>
  <si>
    <t>เทพเฉลิม</t>
  </si>
  <si>
    <t>นายสุรพล</t>
  </si>
  <si>
    <t>บัวศรียอด</t>
  </si>
  <si>
    <t>นายสำลี</t>
  </si>
  <si>
    <t>บุญเพ็ง</t>
  </si>
  <si>
    <t>นางสุภาภรณ์</t>
  </si>
  <si>
    <t>นางสด</t>
  </si>
  <si>
    <t>คงมาก</t>
  </si>
  <si>
    <t>นางสิงห์</t>
  </si>
  <si>
    <t>นายสมศักดิ์</t>
  </si>
  <si>
    <t>บุดดาเพศ</t>
  </si>
  <si>
    <t>นายสวัสดิ์</t>
  </si>
  <si>
    <t>ธิมา</t>
  </si>
  <si>
    <t>น.ส.สุพรรณ๊</t>
  </si>
  <si>
    <t>ผาสุก</t>
  </si>
  <si>
    <t>นางสังวาลย์</t>
  </si>
  <si>
    <t>วงศ์ใหญ่</t>
  </si>
  <si>
    <t>ร.ต.สมศักดิ์</t>
  </si>
  <si>
    <t>นายสุวรรณ</t>
  </si>
  <si>
    <t>นายสมร</t>
  </si>
  <si>
    <t>นายโสภา</t>
  </si>
  <si>
    <t>นาคำ</t>
  </si>
  <si>
    <t>นายสำราญ</t>
  </si>
  <si>
    <t>ตั้งวรรณวิบูลย์</t>
  </si>
  <si>
    <t>นายสันติ</t>
  </si>
  <si>
    <t>ทองชัยประสิทธิ์</t>
  </si>
  <si>
    <t>นายสุริยา</t>
  </si>
  <si>
    <t>คำเลิศ</t>
  </si>
  <si>
    <t>นายสุทิณ</t>
  </si>
  <si>
    <t>แก้วศรี</t>
  </si>
  <si>
    <t>นายสมาน</t>
  </si>
  <si>
    <t>บุษดี</t>
  </si>
  <si>
    <t>นางสำเนียง</t>
  </si>
  <si>
    <t>แสนโตคร</t>
  </si>
  <si>
    <t>นางสุจิรภา</t>
  </si>
  <si>
    <t>บุญคำ</t>
  </si>
  <si>
    <t>นายสมรัก</t>
  </si>
  <si>
    <t>นายสมพักตร์</t>
  </si>
  <si>
    <t>เพ็ญพร</t>
  </si>
  <si>
    <t>นายสุดใจ</t>
  </si>
  <si>
    <t>แก้วยนต์ประเสริฐ</t>
  </si>
  <si>
    <t>นายสมคิด</t>
  </si>
  <si>
    <t>รัตวาล</t>
  </si>
  <si>
    <t>นางสมหมาย</t>
  </si>
  <si>
    <t>บุญมั่น</t>
  </si>
  <si>
    <t>นางหนูกุล</t>
  </si>
  <si>
    <t>หงษ์คำ</t>
  </si>
  <si>
    <t>นางหนูแตง</t>
  </si>
  <si>
    <t>การะศรี</t>
  </si>
  <si>
    <t>นางหนูกาญจน์</t>
  </si>
  <si>
    <t>ภาระหอม</t>
  </si>
  <si>
    <t>นางหนูการ</t>
  </si>
  <si>
    <t>อ่อนหวาน</t>
  </si>
  <si>
    <t>ขวัญนู</t>
  </si>
  <si>
    <t>นางหนู</t>
  </si>
  <si>
    <t>เครือแก้ว</t>
  </si>
  <si>
    <t>น.ส.หนูกาญจน์</t>
  </si>
  <si>
    <t>สองคำผิว</t>
  </si>
  <si>
    <t>นายเหรียญ</t>
  </si>
  <si>
    <t>นิลเกษ</t>
  </si>
  <si>
    <t>นางเหลี่ยม</t>
  </si>
  <si>
    <t>นางหนูข่าย</t>
  </si>
  <si>
    <t>หนูกอง</t>
  </si>
  <si>
    <t>นางอุไรวัลย์</t>
  </si>
  <si>
    <t>เถาว์ชาลี</t>
  </si>
  <si>
    <t>นางอรทัย</t>
  </si>
  <si>
    <t>บุญปรุง</t>
  </si>
  <si>
    <t>นางอัมพร</t>
  </si>
  <si>
    <t>ประทาน</t>
  </si>
  <si>
    <t>นายอ่อน</t>
  </si>
  <si>
    <t>แท่งหิน</t>
  </si>
  <si>
    <t>นายอนุสรณ์</t>
  </si>
  <si>
    <t>นางอมรรัตน์</t>
  </si>
  <si>
    <t>เพ็ชราช</t>
  </si>
  <si>
    <t>บรรษัทบริหารสินทรัพย์ไทย</t>
  </si>
  <si>
    <t>นายชัยยา</t>
  </si>
  <si>
    <t>สมนึก</t>
  </si>
  <si>
    <t xml:space="preserve">นางคำหม่อน  </t>
  </si>
  <si>
    <t xml:space="preserve">นายสมภาร </t>
  </si>
  <si>
    <t xml:space="preserve">นายสำเริง </t>
  </si>
  <si>
    <t xml:space="preserve">นายสุภาพ  </t>
  </si>
  <si>
    <t xml:space="preserve">นายสุชาติ  </t>
  </si>
  <si>
    <t xml:space="preserve">นายศตวรรต </t>
  </si>
  <si>
    <t xml:space="preserve"> บุญสอน</t>
  </si>
  <si>
    <t xml:space="preserve">นายลำพูล </t>
  </si>
  <si>
    <t xml:space="preserve">นางสาวมนเทียร  </t>
  </si>
  <si>
    <t xml:space="preserve">  จันดีปุ่น</t>
  </si>
  <si>
    <t xml:space="preserve">นางพยอม    </t>
  </si>
  <si>
    <t xml:space="preserve"> เคนประครอง</t>
  </si>
  <si>
    <t xml:space="preserve">นายพิน  </t>
  </si>
  <si>
    <t xml:space="preserve">นายแปลง </t>
  </si>
  <si>
    <t xml:space="preserve">นายประสิทธิ์  </t>
  </si>
  <si>
    <t xml:space="preserve">นางประหยัด   </t>
  </si>
  <si>
    <t xml:space="preserve">นายประพฤติ  </t>
  </si>
  <si>
    <t xml:space="preserve"> สุขนิพิฐพร</t>
  </si>
  <si>
    <t xml:space="preserve">นางบุปผา  </t>
  </si>
  <si>
    <t xml:space="preserve">นายนิกร </t>
  </si>
  <si>
    <t xml:space="preserve"> ทีฑธนานนท์</t>
  </si>
  <si>
    <t xml:space="preserve">นางทวี  </t>
  </si>
  <si>
    <t xml:space="preserve">นายทองปาน  </t>
  </si>
  <si>
    <t xml:space="preserve">นายถาวร </t>
  </si>
  <si>
    <t xml:space="preserve"> สำราญ</t>
  </si>
  <si>
    <t xml:space="preserve">นางการะเกษ </t>
  </si>
  <si>
    <t xml:space="preserve"> เสงี่ยมศักดิ์</t>
  </si>
  <si>
    <t xml:space="preserve">นายสุชาติ    </t>
  </si>
  <si>
    <t xml:space="preserve">นายสมพงษ์   </t>
  </si>
  <si>
    <t xml:space="preserve">นายประสิทธิ     </t>
  </si>
  <si>
    <t xml:space="preserve">นางพะยอม   </t>
  </si>
  <si>
    <t xml:space="preserve">นางสาวสุกัญญา  </t>
  </si>
  <si>
    <t xml:space="preserve">นายอัครพล    </t>
  </si>
  <si>
    <t xml:space="preserve">นายวุฒิพันธ์   </t>
  </si>
  <si>
    <t xml:space="preserve">นางนิตยา    </t>
  </si>
  <si>
    <t xml:space="preserve">นางประหยัด  </t>
  </si>
  <si>
    <t xml:space="preserve">นายอัครพล   </t>
  </si>
  <si>
    <t xml:space="preserve">นางสาวดวงแก้ว  </t>
  </si>
  <si>
    <t xml:space="preserve">นางสาวนภัสสร  </t>
  </si>
  <si>
    <t xml:space="preserve">นายใหม่   </t>
  </si>
  <si>
    <t xml:space="preserve">นางสาวปภัทราปภา  </t>
  </si>
  <si>
    <t xml:space="preserve">นางการะเกษ  </t>
  </si>
  <si>
    <t xml:space="preserve">นายคมสันต์  </t>
  </si>
  <si>
    <t xml:space="preserve">นายชาตรี   </t>
  </si>
  <si>
    <t xml:space="preserve">นายชัยยา    </t>
  </si>
  <si>
    <t xml:space="preserve">นางปิยวรรณ    </t>
  </si>
  <si>
    <t xml:space="preserve">นางพยอม   </t>
  </si>
  <si>
    <t xml:space="preserve">นายวิรัติ  </t>
  </si>
  <si>
    <t xml:space="preserve">น.ส.นภัสสร  </t>
  </si>
  <si>
    <t xml:space="preserve">นายประพฤติ   </t>
  </si>
  <si>
    <t xml:space="preserve"> แสงประสิทธิ์</t>
  </si>
  <si>
    <t>โมทะจิตร</t>
  </si>
  <si>
    <t>ดวงงอก</t>
  </si>
  <si>
    <t>ไชยมาตร</t>
  </si>
  <si>
    <t>แก้วคูณ</t>
  </si>
  <si>
    <t>ทำทอง</t>
  </si>
  <si>
    <t>นิ่มแสง</t>
  </si>
  <si>
    <t>โคตรพงษ์</t>
  </si>
  <si>
    <t>จันคุณ</t>
  </si>
  <si>
    <t>สร้อยมาลุน</t>
  </si>
  <si>
    <t>ใจบาง</t>
  </si>
  <si>
    <t>เดชะวรีกุล</t>
  </si>
  <si>
    <t>สมสอางค์</t>
  </si>
  <si>
    <t>แสงประสิทธ์</t>
  </si>
  <si>
    <t>แก้วพรหม</t>
  </si>
  <si>
    <t>รวมลูกหนี้คงเหลือปี  2556</t>
  </si>
  <si>
    <t>ณ   วันที่  31  ตุลาคม  พ.ศ.   2556</t>
  </si>
  <si>
    <t>ประจำเดือน   ตุลาคม  2556</t>
  </si>
  <si>
    <t xml:space="preserve">                          ( นายจรูญ  เจือจันทร์ )</t>
  </si>
  <si>
    <t xml:space="preserve">         ปลัดเทศบาลตำบลแสนสุข</t>
  </si>
  <si>
    <t xml:space="preserve">             ปฏิบัติหน้าที่นายกเทศมนตรีตำบลแสนสุข</t>
  </si>
  <si>
    <t xml:space="preserve">  - </t>
  </si>
  <si>
    <t xml:space="preserve"> -   </t>
  </si>
  <si>
    <t xml:space="preserve">   </t>
  </si>
  <si>
    <t>ปีงบประมาณ     2557</t>
  </si>
  <si>
    <t>เดือนตุลาคม 2556</t>
  </si>
  <si>
    <t>ประจำเดือน พฤศจิกายน 2556</t>
  </si>
  <si>
    <t>เงินอุดหนุนเฉพาะกิจ-เบี้ยยังชีพผู้สูงอายุ ปี56 (งบกลาง)</t>
  </si>
  <si>
    <t>ประจำเดือน   พฤศจิกายน  2556</t>
  </si>
  <si>
    <t>เงินอุดหนุนเฉพาะกิจ-เบี้ยยังชีพผู้สุงอายุ ปี 56</t>
  </si>
  <si>
    <t xml:space="preserve">             นายกเทศมนตรีตำบลแสนสุข</t>
  </si>
  <si>
    <t>ณ   วันที่  29  พฤศจิกายน  พ.ศ.   2556</t>
  </si>
  <si>
    <t xml:space="preserve">     นายกเทศมนตรีตำบลแสนสุข</t>
  </si>
  <si>
    <t xml:space="preserve">                                       ( นายทรงกรด  ไกรกังวาร )</t>
  </si>
  <si>
    <t xml:space="preserve">                                      นายกเทศมนตรีตำบลแสนสุข</t>
  </si>
  <si>
    <t xml:space="preserve"> 24 ธ.ค. 56</t>
  </si>
  <si>
    <t>โครงการซ่อมแซมถนน คสล. เชื่อมระหว่าง ม.1- ม.4</t>
  </si>
  <si>
    <t xml:space="preserve"> 27 ธ.ค. 56</t>
  </si>
  <si>
    <t>โครงการก่อสร้าง ถนน คสล. ม.1</t>
  </si>
  <si>
    <t>ณ   วันที่  27  ธันวาคม  พ.ศ.   2556</t>
  </si>
  <si>
    <t>ประจำเดือน ธันวาคม  2556</t>
  </si>
  <si>
    <t>ประจำเดือน   ธันวาคม  2556</t>
  </si>
  <si>
    <t>เดือนพฤศจิกายน 2556</t>
  </si>
  <si>
    <t>เดือนธันวาคม  2556</t>
  </si>
  <si>
    <t xml:space="preserve">              นายกเทศมนตรีตำบลแสนสุข</t>
  </si>
  <si>
    <t xml:space="preserve">                              ( นายทรงกรด  ไกรกังวาร )</t>
  </si>
  <si>
    <t>ประจำเดือนมกราคม  2557</t>
  </si>
  <si>
    <t>ประจำเดือน   มกราคม  2557</t>
  </si>
  <si>
    <t>เงินค่ารักษาพยาบาลจ่ายตรง อปท.</t>
  </si>
  <si>
    <t>เงินประกันสังคมพนักงาน 5 %</t>
  </si>
  <si>
    <t>รายรับ-เงินอุดหนุนเฉพาะกิจเบี้ยยังชีพผู้สูงอายุ</t>
  </si>
  <si>
    <t>ณ   วันที่  31  มกราคม  พ.ศ.   2557</t>
  </si>
  <si>
    <t>เดือนมกราคม  2557</t>
  </si>
  <si>
    <t>เงินเกินบัญชี</t>
  </si>
  <si>
    <t>230200</t>
  </si>
  <si>
    <t>ประจำปีงบประมาณ 2557  ณ  31  มกราคม 2557</t>
  </si>
  <si>
    <t xml:space="preserve"> 9 ม.ค. 57</t>
  </si>
  <si>
    <t>โครงการจัดซื้อเครื่องออกกำลังกายฯ ม.8, ม.13, ม.20</t>
  </si>
  <si>
    <t>บ.เพลย์ กราวน์ แอนด์พิสเนสฯ</t>
  </si>
  <si>
    <t>โครงการก่อสร้าง ถนน คสล. ม.17ซอยบ้านเลขที่ 379</t>
  </si>
  <si>
    <t>โครงการก่อสร้าง ถนน คสล. ม.13 บ้านห้วยไผ่</t>
  </si>
  <si>
    <t>โครงการซ่อมแซมถนน คสล. ม.10 บ้านเกษตรสมบูรณ์</t>
  </si>
  <si>
    <t>โครงการซ่อมแซมถนน คสล. ม.12 บ้านแสนสุข</t>
  </si>
  <si>
    <t>เงินหลักประกันซอง</t>
  </si>
  <si>
    <t xml:space="preserve"> 15 ม.ค. 57</t>
  </si>
  <si>
    <t xml:space="preserve"> 20 ม.ค. 57</t>
  </si>
  <si>
    <t xml:space="preserve"> 29 ม.ค. 57</t>
  </si>
  <si>
    <t xml:space="preserve">รายละเอียดเงินหลักประกันซอง </t>
  </si>
  <si>
    <t>รายละเอียดลูกหนี้ปีงบประมาณ  2557</t>
  </si>
  <si>
    <t>..</t>
  </si>
  <si>
    <t>ณ   วันที่  28  กุมภาพันธ์ พ.ศ.   2557</t>
  </si>
  <si>
    <t>ประจำเดือนกุมภาพันธ์  2557</t>
  </si>
  <si>
    <t>ประจำเดือน   กุมภาพันธ์  2557</t>
  </si>
  <si>
    <t>เงินปันผลและเฉลี่ยคืนสหกรณ์ออมทรัพย์ พนง.</t>
  </si>
  <si>
    <t>เดือนกุมภาพันธ์  2557</t>
  </si>
  <si>
    <t xml:space="preserve">  ณ  28  กุมภาพันธ์  2557</t>
  </si>
  <si>
    <t>ประจำปีงบประมาณ 2557  ณ  28  กุมภาพันธ์  2557</t>
  </si>
  <si>
    <t xml:space="preserve"> 19 ก.พ. 57</t>
  </si>
  <si>
    <t>โครงการจัดซื้อครุภัณฑ์ครุภัณฑ์ห้องปฏิบัติการวิทยาศาสตร์</t>
  </si>
  <si>
    <t>หจก.สายสีแววสกุล</t>
  </si>
  <si>
    <t>โครงการซ่อมแซมถนน คสล. ม.18</t>
  </si>
  <si>
    <t xml:space="preserve"> 26 ก.พ. 57</t>
  </si>
  <si>
    <t>โครงการซ่อมแซมถนน คสล. ม.15</t>
  </si>
  <si>
    <t xml:space="preserve"> 28 ก.พ.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</si>
</sst>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_(* #,##0_);_(* \(#,##0\);_(* &quot;-&quot;??_);_(@_)"/>
    <numFmt numFmtId="190" formatCode="_-* #,##0_-;\-* #,##0_-;_-* &quot;-&quot;??_-;_-@_-"/>
    <numFmt numFmtId="191" formatCode="[$-187041E]d\ mmm\ yy;@"/>
  </numFmts>
  <fonts count="23" x14ac:knownFonts="1">
    <font>
      <b/>
      <sz val="12"/>
      <color indexed="8"/>
      <name val="Angsana New"/>
      <family val="1"/>
    </font>
    <font>
      <b/>
      <sz val="14"/>
      <name val="Cordia New"/>
      <family val="2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6.2"/>
      <name val="Angsana New"/>
      <family val="1"/>
    </font>
    <font>
      <b/>
      <sz val="16.5"/>
      <name val="Angsana New"/>
      <family val="1"/>
    </font>
    <font>
      <sz val="16.5"/>
      <name val="Angsana New"/>
      <family val="1"/>
    </font>
    <font>
      <sz val="16"/>
      <color rgb="FFFF000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5"/>
      <color theme="1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color theme="1"/>
      <name val="Angsana New"/>
      <family val="1"/>
    </font>
    <font>
      <sz val="16.2"/>
      <name val="Angsana New"/>
      <family val="1"/>
    </font>
    <font>
      <sz val="14"/>
      <color rgb="FFFF0000"/>
      <name val="Angsana New"/>
      <family val="1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188" fontId="4" fillId="0" borderId="4" xfId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188" fontId="4" fillId="0" borderId="4" xfId="1" applyFont="1" applyBorder="1"/>
    <xf numFmtId="188" fontId="4" fillId="0" borderId="8" xfId="1" applyFont="1" applyBorder="1"/>
    <xf numFmtId="49" fontId="4" fillId="0" borderId="8" xfId="0" applyNumberFormat="1" applyFont="1" applyBorder="1" applyAlignment="1">
      <alignment horizontal="center"/>
    </xf>
    <xf numFmtId="188" fontId="4" fillId="0" borderId="1" xfId="1" applyFont="1" applyBorder="1"/>
    <xf numFmtId="0" fontId="4" fillId="0" borderId="11" xfId="0" applyFont="1" applyBorder="1"/>
    <xf numFmtId="188" fontId="4" fillId="0" borderId="4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/>
    <xf numFmtId="0" fontId="4" fillId="0" borderId="0" xfId="0" applyFont="1" applyBorder="1"/>
    <xf numFmtId="188" fontId="4" fillId="0" borderId="0" xfId="0" applyNumberFormat="1" applyFont="1"/>
    <xf numFmtId="188" fontId="4" fillId="0" borderId="3" xfId="1" applyFont="1" applyBorder="1"/>
    <xf numFmtId="188" fontId="3" fillId="0" borderId="0" xfId="1" applyFont="1"/>
    <xf numFmtId="43" fontId="4" fillId="0" borderId="0" xfId="0" applyNumberFormat="1" applyFont="1"/>
    <xf numFmtId="43" fontId="4" fillId="0" borderId="4" xfId="1" applyNumberFormat="1" applyFont="1" applyBorder="1"/>
    <xf numFmtId="0" fontId="3" fillId="0" borderId="4" xfId="0" applyFont="1" applyBorder="1" applyAlignment="1">
      <alignment horizontal="center"/>
    </xf>
    <xf numFmtId="0" fontId="4" fillId="0" borderId="0" xfId="0" applyFont="1" applyFill="1"/>
    <xf numFmtId="188" fontId="4" fillId="0" borderId="0" xfId="1" applyFont="1"/>
    <xf numFmtId="188" fontId="3" fillId="0" borderId="5" xfId="1" applyFont="1" applyBorder="1"/>
    <xf numFmtId="0" fontId="4" fillId="0" borderId="3" xfId="0" applyFont="1" applyBorder="1"/>
    <xf numFmtId="0" fontId="3" fillId="0" borderId="0" xfId="0" applyFont="1" applyFill="1"/>
    <xf numFmtId="0" fontId="4" fillId="0" borderId="27" xfId="0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190" fontId="4" fillId="0" borderId="12" xfId="1" applyNumberFormat="1" applyFont="1" applyBorder="1"/>
    <xf numFmtId="190" fontId="4" fillId="0" borderId="12" xfId="1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188" fontId="4" fillId="0" borderId="0" xfId="1" applyFont="1" applyFill="1"/>
    <xf numFmtId="188" fontId="4" fillId="0" borderId="3" xfId="1" applyFont="1" applyFill="1" applyBorder="1"/>
    <xf numFmtId="0" fontId="4" fillId="0" borderId="3" xfId="0" applyFont="1" applyFill="1" applyBorder="1"/>
    <xf numFmtId="49" fontId="4" fillId="0" borderId="2" xfId="0" applyNumberFormat="1" applyFont="1" applyFill="1" applyBorder="1" applyAlignment="1">
      <alignment horizontal="center"/>
    </xf>
    <xf numFmtId="188" fontId="4" fillId="0" borderId="4" xfId="1" applyFont="1" applyFill="1" applyBorder="1"/>
    <xf numFmtId="0" fontId="4" fillId="0" borderId="4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0" xfId="0" applyNumberFormat="1" applyFont="1" applyFill="1" applyBorder="1"/>
    <xf numFmtId="188" fontId="4" fillId="0" borderId="0" xfId="0" applyNumberFormat="1" applyFont="1" applyFill="1"/>
    <xf numFmtId="188" fontId="4" fillId="0" borderId="0" xfId="1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Fill="1" applyBorder="1"/>
    <xf numFmtId="0" fontId="3" fillId="0" borderId="30" xfId="0" applyFont="1" applyBorder="1"/>
    <xf numFmtId="188" fontId="3" fillId="0" borderId="5" xfId="1" applyFont="1" applyBorder="1" applyAlignment="1">
      <alignment horizontal="center"/>
    </xf>
    <xf numFmtId="188" fontId="3" fillId="0" borderId="30" xfId="0" applyNumberFormat="1" applyFont="1" applyBorder="1"/>
    <xf numFmtId="43" fontId="3" fillId="0" borderId="31" xfId="0" applyNumberFormat="1" applyFont="1" applyBorder="1" applyAlignment="1">
      <alignment horizontal="center"/>
    </xf>
    <xf numFmtId="0" fontId="3" fillId="0" borderId="32" xfId="0" applyFont="1" applyBorder="1"/>
    <xf numFmtId="0" fontId="4" fillId="0" borderId="33" xfId="0" applyFont="1" applyBorder="1"/>
    <xf numFmtId="49" fontId="4" fillId="0" borderId="4" xfId="0" applyNumberFormat="1" applyFont="1" applyBorder="1" applyAlignment="1">
      <alignment horizontal="center"/>
    </xf>
    <xf numFmtId="0" fontId="5" fillId="0" borderId="0" xfId="0" applyFont="1"/>
    <xf numFmtId="49" fontId="7" fillId="0" borderId="4" xfId="0" applyNumberFormat="1" applyFont="1" applyBorder="1" applyAlignment="1">
      <alignment horizontal="center"/>
    </xf>
    <xf numFmtId="187" fontId="7" fillId="0" borderId="0" xfId="0" applyNumberFormat="1" applyFont="1" applyAlignment="1">
      <alignment horizontal="left"/>
    </xf>
    <xf numFmtId="0" fontId="7" fillId="0" borderId="0" xfId="0" applyFont="1"/>
    <xf numFmtId="0" fontId="7" fillId="0" borderId="33" xfId="0" applyFont="1" applyBorder="1"/>
    <xf numFmtId="0" fontId="6" fillId="0" borderId="40" xfId="0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3" fontId="4" fillId="0" borderId="22" xfId="1" applyNumberFormat="1" applyFont="1" applyFill="1" applyBorder="1"/>
    <xf numFmtId="0" fontId="9" fillId="0" borderId="0" xfId="0" applyFont="1"/>
    <xf numFmtId="188" fontId="4" fillId="0" borderId="27" xfId="1" applyFont="1" applyBorder="1"/>
    <xf numFmtId="0" fontId="3" fillId="0" borderId="28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9" fontId="10" fillId="0" borderId="0" xfId="0" applyNumberFormat="1" applyFont="1" applyBorder="1" applyAlignment="1">
      <alignment horizontal="center"/>
    </xf>
    <xf numFmtId="188" fontId="3" fillId="0" borderId="28" xfId="1" applyFont="1" applyBorder="1"/>
    <xf numFmtId="0" fontId="3" fillId="0" borderId="2" xfId="0" applyFont="1" applyFill="1" applyBorder="1"/>
    <xf numFmtId="43" fontId="3" fillId="0" borderId="0" xfId="0" applyNumberFormat="1" applyFont="1"/>
    <xf numFmtId="0" fontId="12" fillId="0" borderId="4" xfId="0" applyFont="1" applyBorder="1" applyAlignment="1">
      <alignment horizontal="center"/>
    </xf>
    <xf numFmtId="43" fontId="12" fillId="0" borderId="4" xfId="1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43" fontId="11" fillId="0" borderId="20" xfId="1" applyNumberFormat="1" applyFont="1" applyBorder="1"/>
    <xf numFmtId="0" fontId="11" fillId="0" borderId="39" xfId="0" applyFont="1" applyBorder="1" applyAlignment="1">
      <alignment horizontal="center"/>
    </xf>
    <xf numFmtId="0" fontId="11" fillId="0" borderId="54" xfId="0" applyFont="1" applyBorder="1"/>
    <xf numFmtId="43" fontId="11" fillId="0" borderId="54" xfId="1" applyNumberFormat="1" applyFont="1" applyBorder="1"/>
    <xf numFmtId="0" fontId="11" fillId="0" borderId="39" xfId="0" applyFont="1" applyBorder="1"/>
    <xf numFmtId="43" fontId="11" fillId="0" borderId="39" xfId="1" applyNumberFormat="1" applyFont="1" applyBorder="1"/>
    <xf numFmtId="43" fontId="11" fillId="0" borderId="25" xfId="1" applyNumberFormat="1" applyFont="1" applyBorder="1"/>
    <xf numFmtId="43" fontId="3" fillId="0" borderId="6" xfId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3" fontId="11" fillId="0" borderId="0" xfId="1" applyNumberFormat="1" applyFont="1"/>
    <xf numFmtId="0" fontId="11" fillId="0" borderId="25" xfId="0" applyFont="1" applyBorder="1" applyAlignment="1">
      <alignment horizontal="center"/>
    </xf>
    <xf numFmtId="0" fontId="11" fillId="0" borderId="25" xfId="0" applyFont="1" applyBorder="1"/>
    <xf numFmtId="0" fontId="13" fillId="0" borderId="22" xfId="0" applyFont="1" applyBorder="1"/>
    <xf numFmtId="0" fontId="11" fillId="0" borderId="54" xfId="0" applyFont="1" applyBorder="1" applyAlignment="1">
      <alignment horizontal="center"/>
    </xf>
    <xf numFmtId="43" fontId="0" fillId="0" borderId="0" xfId="0" applyNumberFormat="1"/>
    <xf numFmtId="43" fontId="4" fillId="0" borderId="0" xfId="0" applyNumberFormat="1" applyFont="1" applyFill="1"/>
    <xf numFmtId="0" fontId="14" fillId="0" borderId="4" xfId="0" applyFont="1" applyBorder="1"/>
    <xf numFmtId="0" fontId="17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/>
    <xf numFmtId="43" fontId="14" fillId="0" borderId="3" xfId="0" applyNumberFormat="1" applyFont="1" applyBorder="1"/>
    <xf numFmtId="43" fontId="14" fillId="0" borderId="5" xfId="1" applyNumberFormat="1" applyFont="1" applyBorder="1"/>
    <xf numFmtId="0" fontId="3" fillId="0" borderId="29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88" fontId="3" fillId="0" borderId="5" xfId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188" fontId="3" fillId="0" borderId="7" xfId="1" applyNumberFormat="1" applyFont="1" applyFill="1" applyBorder="1" applyAlignment="1">
      <alignment horizontal="center"/>
    </xf>
    <xf numFmtId="43" fontId="4" fillId="0" borderId="0" xfId="1" applyNumberFormat="1" applyFont="1" applyFill="1"/>
    <xf numFmtId="43" fontId="4" fillId="2" borderId="0" xfId="0" applyNumberFormat="1" applyFont="1" applyFill="1"/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4" fillId="0" borderId="20" xfId="1" applyNumberFormat="1" applyFont="1" applyBorder="1"/>
    <xf numFmtId="0" fontId="15" fillId="0" borderId="20" xfId="0" applyFont="1" applyBorder="1"/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3" fontId="4" fillId="0" borderId="9" xfId="0" applyNumberFormat="1" applyFont="1" applyBorder="1"/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43" fontId="13" fillId="0" borderId="0" xfId="0" applyNumberFormat="1" applyFont="1"/>
    <xf numFmtId="0" fontId="19" fillId="0" borderId="0" xfId="0" applyFont="1"/>
    <xf numFmtId="0" fontId="4" fillId="0" borderId="0" xfId="1" applyNumberFormat="1" applyFont="1" applyFill="1"/>
    <xf numFmtId="188" fontId="8" fillId="0" borderId="0" xfId="1" applyFont="1" applyFill="1"/>
    <xf numFmtId="188" fontId="8" fillId="0" borderId="0" xfId="0" applyNumberFormat="1" applyFont="1"/>
    <xf numFmtId="15" fontId="11" fillId="0" borderId="20" xfId="0" applyNumberFormat="1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/>
    <xf numFmtId="43" fontId="18" fillId="0" borderId="18" xfId="1" applyNumberFormat="1" applyFont="1" applyBorder="1" applyAlignment="1">
      <alignment horizontal="center"/>
    </xf>
    <xf numFmtId="43" fontId="18" fillId="0" borderId="17" xfId="1" applyNumberFormat="1" applyFont="1" applyBorder="1"/>
    <xf numFmtId="0" fontId="18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43" fontId="18" fillId="0" borderId="21" xfId="1" applyNumberFormat="1" applyFont="1" applyBorder="1" applyAlignment="1">
      <alignment horizontal="center"/>
    </xf>
    <xf numFmtId="43" fontId="18" fillId="0" borderId="20" xfId="1" applyNumberFormat="1" applyFont="1" applyBorder="1"/>
    <xf numFmtId="43" fontId="18" fillId="0" borderId="21" xfId="1" applyNumberFormat="1" applyFont="1" applyBorder="1"/>
    <xf numFmtId="0" fontId="18" fillId="0" borderId="23" xfId="0" applyFont="1" applyBorder="1"/>
    <xf numFmtId="0" fontId="18" fillId="0" borderId="24" xfId="0" applyFont="1" applyBorder="1"/>
    <xf numFmtId="43" fontId="18" fillId="0" borderId="23" xfId="1" applyNumberFormat="1" applyFont="1" applyBorder="1"/>
    <xf numFmtId="43" fontId="18" fillId="0" borderId="25" xfId="1" applyNumberFormat="1" applyFont="1" applyBorder="1"/>
    <xf numFmtId="43" fontId="18" fillId="0" borderId="23" xfId="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43" fontId="21" fillId="0" borderId="10" xfId="1" applyNumberFormat="1" applyFont="1" applyBorder="1" applyAlignment="1">
      <alignment horizontal="center"/>
    </xf>
    <xf numFmtId="0" fontId="13" fillId="0" borderId="5" xfId="0" applyFont="1" applyBorder="1"/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43" fontId="14" fillId="0" borderId="6" xfId="0" applyNumberFormat="1" applyFont="1" applyBorder="1"/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43" fontId="13" fillId="0" borderId="20" xfId="1" applyNumberFormat="1" applyFont="1" applyBorder="1"/>
    <xf numFmtId="0" fontId="13" fillId="0" borderId="20" xfId="0" applyFont="1" applyBorder="1"/>
    <xf numFmtId="0" fontId="4" fillId="0" borderId="20" xfId="0" applyFont="1" applyBorder="1"/>
    <xf numFmtId="43" fontId="13" fillId="0" borderId="20" xfId="1" applyNumberFormat="1" applyFont="1" applyBorder="1" applyAlignment="1">
      <alignment horizontal="center"/>
    </xf>
    <xf numFmtId="0" fontId="14" fillId="0" borderId="20" xfId="0" applyFont="1" applyBorder="1"/>
    <xf numFmtId="0" fontId="13" fillId="0" borderId="2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7" xfId="0" applyFont="1" applyBorder="1"/>
    <xf numFmtId="0" fontId="13" fillId="0" borderId="38" xfId="0" applyFont="1" applyBorder="1"/>
    <xf numFmtId="0" fontId="13" fillId="0" borderId="1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43" fontId="13" fillId="0" borderId="1" xfId="1" applyNumberFormat="1" applyFont="1" applyBorder="1"/>
    <xf numFmtId="0" fontId="14" fillId="0" borderId="1" xfId="0" applyFont="1" applyBorder="1"/>
    <xf numFmtId="0" fontId="13" fillId="0" borderId="1" xfId="0" applyFont="1" applyBorder="1"/>
    <xf numFmtId="0" fontId="13" fillId="0" borderId="25" xfId="0" applyFont="1" applyBorder="1" applyAlignment="1">
      <alignment horizontal="center"/>
    </xf>
    <xf numFmtId="0" fontId="13" fillId="0" borderId="23" xfId="0" applyFont="1" applyBorder="1"/>
    <xf numFmtId="0" fontId="13" fillId="0" borderId="24" xfId="0" applyFont="1" applyBorder="1"/>
    <xf numFmtId="43" fontId="14" fillId="0" borderId="25" xfId="1" applyNumberFormat="1" applyFont="1" applyBorder="1"/>
    <xf numFmtId="43" fontId="13" fillId="0" borderId="25" xfId="1" applyNumberFormat="1" applyFont="1" applyBorder="1"/>
    <xf numFmtId="0" fontId="13" fillId="0" borderId="25" xfId="0" applyFont="1" applyBorder="1"/>
    <xf numFmtId="43" fontId="21" fillId="0" borderId="13" xfId="1" applyNumberFormat="1" applyFont="1" applyBorder="1"/>
    <xf numFmtId="43" fontId="21" fillId="0" borderId="3" xfId="1" applyNumberFormat="1" applyFont="1" applyBorder="1"/>
    <xf numFmtId="0" fontId="13" fillId="0" borderId="5" xfId="0" applyFont="1" applyBorder="1" applyAlignment="1">
      <alignment horizontal="center"/>
    </xf>
    <xf numFmtId="43" fontId="20" fillId="0" borderId="39" xfId="1" applyNumberFormat="1" applyFont="1" applyBorder="1"/>
    <xf numFmtId="0" fontId="13" fillId="0" borderId="39" xfId="0" applyFont="1" applyBorder="1"/>
    <xf numFmtId="43" fontId="13" fillId="0" borderId="39" xfId="1" applyNumberFormat="1" applyFont="1" applyBorder="1"/>
    <xf numFmtId="0" fontId="16" fillId="0" borderId="3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3" fillId="0" borderId="6" xfId="0" applyFont="1" applyBorder="1"/>
    <xf numFmtId="0" fontId="4" fillId="0" borderId="25" xfId="0" applyFont="1" applyBorder="1"/>
    <xf numFmtId="43" fontId="14" fillId="0" borderId="25" xfId="0" applyNumberFormat="1" applyFont="1" applyBorder="1"/>
    <xf numFmtId="0" fontId="14" fillId="0" borderId="25" xfId="0" applyFont="1" applyBorder="1"/>
    <xf numFmtId="43" fontId="14" fillId="0" borderId="25" xfId="1" applyNumberFormat="1" applyFont="1" applyBorder="1" applyAlignment="1">
      <alignment horizontal="center"/>
    </xf>
    <xf numFmtId="43" fontId="21" fillId="0" borderId="16" xfId="1" applyNumberFormat="1" applyFont="1" applyBorder="1"/>
    <xf numFmtId="43" fontId="18" fillId="0" borderId="19" xfId="1" applyNumberFormat="1" applyFont="1" applyBorder="1"/>
    <xf numFmtId="43" fontId="18" fillId="0" borderId="22" xfId="1" applyNumberFormat="1" applyFont="1" applyBorder="1"/>
    <xf numFmtId="43" fontId="18" fillId="0" borderId="24" xfId="1" applyNumberFormat="1" applyFont="1" applyBorder="1"/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43" fontId="22" fillId="0" borderId="5" xfId="1" applyNumberFormat="1" applyFont="1" applyBorder="1"/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43" fontId="21" fillId="0" borderId="4" xfId="1" applyNumberFormat="1" applyFont="1" applyBorder="1" applyAlignment="1">
      <alignment horizontal="center"/>
    </xf>
    <xf numFmtId="191" fontId="3" fillId="0" borderId="4" xfId="0" applyNumberFormat="1" applyFont="1" applyBorder="1" applyAlignment="1">
      <alignment horizontal="center"/>
    </xf>
    <xf numFmtId="191" fontId="4" fillId="0" borderId="20" xfId="0" applyNumberFormat="1" applyFont="1" applyBorder="1" applyAlignment="1">
      <alignment horizontal="center"/>
    </xf>
    <xf numFmtId="191" fontId="4" fillId="0" borderId="25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4" fillId="0" borderId="54" xfId="0" applyNumberFormat="1" applyFont="1" applyBorder="1" applyAlignment="1">
      <alignment horizontal="center"/>
    </xf>
    <xf numFmtId="191" fontId="4" fillId="0" borderId="6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0" fontId="17" fillId="0" borderId="0" xfId="0" applyFont="1"/>
    <xf numFmtId="188" fontId="4" fillId="0" borderId="8" xfId="1" applyFont="1" applyBorder="1" applyAlignment="1">
      <alignment horizontal="center"/>
    </xf>
    <xf numFmtId="189" fontId="10" fillId="0" borderId="0" xfId="1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91" fontId="16" fillId="0" borderId="20" xfId="0" applyNumberFormat="1" applyFont="1" applyBorder="1" applyAlignment="1">
      <alignment horizontal="center"/>
    </xf>
    <xf numFmtId="43" fontId="3" fillId="0" borderId="0" xfId="1" applyNumberFormat="1" applyFont="1" applyBorder="1"/>
    <xf numFmtId="191" fontId="4" fillId="0" borderId="0" xfId="0" applyNumberFormat="1" applyFont="1" applyBorder="1" applyAlignment="1">
      <alignment horizontal="center"/>
    </xf>
    <xf numFmtId="188" fontId="4" fillId="0" borderId="8" xfId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8" fontId="4" fillId="0" borderId="0" xfId="0" applyNumberFormat="1" applyFont="1" applyFill="1" applyAlignment="1"/>
    <xf numFmtId="0" fontId="1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4" xfId="0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189" fontId="10" fillId="0" borderId="0" xfId="1" applyNumberFormat="1" applyFont="1" applyAlignment="1">
      <alignment horizontal="center"/>
    </xf>
    <xf numFmtId="188" fontId="7" fillId="0" borderId="8" xfId="1" applyFont="1" applyBorder="1" applyAlignment="1">
      <alignment horizontal="center"/>
    </xf>
    <xf numFmtId="188" fontId="7" fillId="0" borderId="9" xfId="1" applyFont="1" applyBorder="1" applyAlignment="1">
      <alignment horizontal="center"/>
    </xf>
    <xf numFmtId="188" fontId="7" fillId="0" borderId="34" xfId="1" applyFont="1" applyBorder="1" applyAlignment="1">
      <alignment horizontal="center"/>
    </xf>
    <xf numFmtId="188" fontId="6" fillId="0" borderId="35" xfId="1" applyFont="1" applyBorder="1" applyAlignment="1">
      <alignment horizontal="center"/>
    </xf>
    <xf numFmtId="188" fontId="6" fillId="0" borderId="47" xfId="1" applyFont="1" applyBorder="1" applyAlignment="1">
      <alignment horizontal="center"/>
    </xf>
    <xf numFmtId="188" fontId="6" fillId="0" borderId="36" xfId="1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8" xfId="1" applyFont="1" applyBorder="1" applyAlignment="1">
      <alignment horizontal="center"/>
    </xf>
    <xf numFmtId="188" fontId="4" fillId="0" borderId="3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88" fontId="4" fillId="0" borderId="9" xfId="1" applyFont="1" applyBorder="1" applyAlignment="1">
      <alignment horizontal="center"/>
    </xf>
    <xf numFmtId="188" fontId="7" fillId="0" borderId="8" xfId="1" applyFont="1" applyFill="1" applyBorder="1" applyAlignment="1">
      <alignment horizontal="center"/>
    </xf>
    <xf numFmtId="188" fontId="7" fillId="0" borderId="9" xfId="1" applyFont="1" applyFill="1" applyBorder="1" applyAlignment="1">
      <alignment horizontal="center"/>
    </xf>
    <xf numFmtId="188" fontId="4" fillId="0" borderId="13" xfId="1" applyNumberFormat="1" applyFont="1" applyFill="1" applyBorder="1" applyAlignment="1">
      <alignment horizontal="center"/>
    </xf>
    <xf numFmtId="188" fontId="4" fillId="0" borderId="16" xfId="1" applyNumberFormat="1" applyFont="1" applyFill="1" applyBorder="1" applyAlignment="1">
      <alignment horizontal="center"/>
    </xf>
    <xf numFmtId="188" fontId="4" fillId="0" borderId="8" xfId="1" applyNumberFormat="1" applyFont="1" applyFill="1" applyBorder="1" applyAlignment="1">
      <alignment horizontal="center"/>
    </xf>
    <xf numFmtId="188" fontId="4" fillId="0" borderId="9" xfId="1" applyNumberFormat="1" applyFont="1" applyFill="1" applyBorder="1" applyAlignment="1">
      <alignment horizontal="center"/>
    </xf>
    <xf numFmtId="188" fontId="3" fillId="0" borderId="13" xfId="1" applyNumberFormat="1" applyFont="1" applyFill="1" applyBorder="1" applyAlignment="1">
      <alignment horizontal="center"/>
    </xf>
    <xf numFmtId="188" fontId="3" fillId="0" borderId="16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horizontal="center"/>
    </xf>
    <xf numFmtId="188" fontId="3" fillId="0" borderId="30" xfId="1" applyNumberFormat="1" applyFont="1" applyBorder="1" applyAlignment="1">
      <alignment horizontal="center"/>
    </xf>
    <xf numFmtId="188" fontId="3" fillId="0" borderId="32" xfId="1" applyNumberFormat="1" applyFont="1" applyBorder="1" applyAlignment="1">
      <alignment horizontal="center"/>
    </xf>
    <xf numFmtId="188" fontId="4" fillId="0" borderId="44" xfId="1" applyNumberFormat="1" applyFont="1" applyFill="1" applyBorder="1" applyAlignment="1">
      <alignment horizontal="center"/>
    </xf>
    <xf numFmtId="188" fontId="4" fillId="0" borderId="45" xfId="1" applyNumberFormat="1" applyFont="1" applyFill="1" applyBorder="1" applyAlignment="1">
      <alignment horizontal="center"/>
    </xf>
    <xf numFmtId="188" fontId="4" fillId="0" borderId="8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88" fontId="3" fillId="0" borderId="44" xfId="1" applyNumberFormat="1" applyFont="1" applyBorder="1" applyAlignment="1">
      <alignment horizontal="center"/>
    </xf>
    <xf numFmtId="188" fontId="3" fillId="0" borderId="45" xfId="1" applyNumberFormat="1" applyFont="1" applyBorder="1" applyAlignment="1">
      <alignment horizontal="center"/>
    </xf>
    <xf numFmtId="188" fontId="8" fillId="0" borderId="8" xfId="1" applyNumberFormat="1" applyFont="1" applyFill="1" applyBorder="1" applyAlignment="1">
      <alignment horizontal="center"/>
    </xf>
    <xf numFmtId="188" fontId="8" fillId="0" borderId="9" xfId="1" applyNumberFormat="1" applyFont="1" applyFill="1" applyBorder="1" applyAlignment="1">
      <alignment horizontal="center"/>
    </xf>
    <xf numFmtId="188" fontId="8" fillId="0" borderId="13" xfId="1" applyNumberFormat="1" applyFont="1" applyFill="1" applyBorder="1" applyAlignment="1">
      <alignment horizontal="center"/>
    </xf>
    <xf numFmtId="188" fontId="8" fillId="0" borderId="16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8" fontId="3" fillId="0" borderId="30" xfId="1" applyNumberFormat="1" applyFont="1" applyFill="1" applyBorder="1" applyAlignment="1">
      <alignment horizontal="center"/>
    </xf>
    <xf numFmtId="188" fontId="3" fillId="0" borderId="32" xfId="1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88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7" name="Line 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58" name="Line 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59" name="Line 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0" name="Line 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1" name="Line 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2" name="Line 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3" name="Line 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4" name="Line 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5" name="Line 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6" name="Line 1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7" name="Line 1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68" name="Line 1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69" name="Line 1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0" name="Line 1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1" name="Line 1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2" name="Line 1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3" name="Line 1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4" name="Line 2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5" name="Line 2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6" name="Line 2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7" name="Line 2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78" name="Line 2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79" name="Line 2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0" name="Line 2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1" name="Line 2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2" name="Line 2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3" name="Line 2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4" name="Line 3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5" name="Line 3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6" name="Line 3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7" name="Line 3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88" name="Line 3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89" name="Line 3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0" name="Line 3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1" name="Line 3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2" name="Line 3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3" name="Line 3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4" name="Line 4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5" name="Line 4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6" name="Line 4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7" name="Line 4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798" name="Line 4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799" name="Line 4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0" name="Line 4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1" name="Line 4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2" name="Line 4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3" name="Line 4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4" name="Line 5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5" name="Line 5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6" name="Line 5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7" name="Line 5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08" name="Line 5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09" name="Line 5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0" name="Line 5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1" name="Line 5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2" name="Line 5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3" name="Line 5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4" name="Line 6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5" name="Line 6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6" name="Line 6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7" name="Line 6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18" name="Line 6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19" name="Line 6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0" name="Line 6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1" name="Line 6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2" name="Line 6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3" name="Line 6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4" name="Line 7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5" name="Line 7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6" name="Line 7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7" name="Line 7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28" name="Line 7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29" name="Line 7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0" name="Line 7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1" name="Line 7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2" name="Line 7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3" name="Line 7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4" name="Line 8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5" name="Line 81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6" name="Line 82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7" name="Line 83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38" name="Line 84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39" name="Line 85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0" name="Line 86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1" name="Line 87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2" name="Line 88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3</xdr:col>
      <xdr:colOff>57150</xdr:colOff>
      <xdr:row>0</xdr:row>
      <xdr:rowOff>0</xdr:rowOff>
    </xdr:to>
    <xdr:sp macro="" textlink="">
      <xdr:nvSpPr>
        <xdr:cNvPr id="366843" name="Line 89"/>
        <xdr:cNvSpPr>
          <a:spLocks noChangeShapeType="1"/>
        </xdr:cNvSpPr>
      </xdr:nvSpPr>
      <xdr:spPr bwMode="auto">
        <a:xfrm>
          <a:off x="1476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38100</xdr:colOff>
      <xdr:row>0</xdr:row>
      <xdr:rowOff>0</xdr:rowOff>
    </xdr:to>
    <xdr:sp macro="" textlink="">
      <xdr:nvSpPr>
        <xdr:cNvPr id="366844" name="Line 90"/>
        <xdr:cNvSpPr>
          <a:spLocks noChangeShapeType="1"/>
        </xdr:cNvSpPr>
      </xdr:nvSpPr>
      <xdr:spPr bwMode="auto">
        <a:xfrm>
          <a:off x="7800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1104900</xdr:colOff>
      <xdr:row>141</xdr:row>
      <xdr:rowOff>19050</xdr:rowOff>
    </xdr:from>
    <xdr:to>
      <xdr:col>3</xdr:col>
      <xdr:colOff>1104900</xdr:colOff>
      <xdr:row>171</xdr:row>
      <xdr:rowOff>19050</xdr:rowOff>
    </xdr:to>
    <xdr:cxnSp macro="">
      <xdr:nvCxnSpPr>
        <xdr:cNvPr id="366853" name="ตัวเชื่อมต่อตรง 118"/>
        <xdr:cNvCxnSpPr>
          <a:cxnSpLocks noChangeShapeType="1"/>
        </xdr:cNvCxnSpPr>
      </xdr:nvCxnSpPr>
      <xdr:spPr bwMode="auto">
        <a:xfrm rot="5400000">
          <a:off x="-1938338" y="52906613"/>
          <a:ext cx="829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168</xdr:row>
      <xdr:rowOff>1724025</xdr:rowOff>
    </xdr:to>
    <xdr:cxnSp macro="">
      <xdr:nvCxnSpPr>
        <xdr:cNvPr id="366854" name="ตัวเชื่อมต่อตรง 120"/>
        <xdr:cNvCxnSpPr>
          <a:cxnSpLocks noChangeShapeType="1"/>
        </xdr:cNvCxnSpPr>
      </xdr:nvCxnSpPr>
      <xdr:spPr bwMode="auto">
        <a:xfrm rot="5400000">
          <a:off x="-1785938" y="52735163"/>
          <a:ext cx="79914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809624</xdr:colOff>
      <xdr:row>453</xdr:row>
      <xdr:rowOff>0</xdr:rowOff>
    </xdr:from>
    <xdr:to>
      <xdr:col>4</xdr:col>
      <xdr:colOff>9524</xdr:colOff>
      <xdr:row>464</xdr:row>
      <xdr:rowOff>0</xdr:rowOff>
    </xdr:to>
    <xdr:cxnSp macro="">
      <xdr:nvCxnSpPr>
        <xdr:cNvPr id="111" name="ตัวเชื่อมต่อตรง 110"/>
        <xdr:cNvCxnSpPr>
          <a:cxnSpLocks noChangeShapeType="1"/>
        </xdr:cNvCxnSpPr>
      </xdr:nvCxnSpPr>
      <xdr:spPr bwMode="auto">
        <a:xfrm rot="16200000" flipH="1">
          <a:off x="590549" y="121539000"/>
          <a:ext cx="3248025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809624</xdr:colOff>
      <xdr:row>452</xdr:row>
      <xdr:rowOff>0</xdr:rowOff>
    </xdr:from>
    <xdr:to>
      <xdr:col>4</xdr:col>
      <xdr:colOff>9524</xdr:colOff>
      <xdr:row>462</xdr:row>
      <xdr:rowOff>0</xdr:rowOff>
    </xdr:to>
    <xdr:cxnSp macro="">
      <xdr:nvCxnSpPr>
        <xdr:cNvPr id="112" name="ตัวเชื่อมต่อตรง 106"/>
        <xdr:cNvCxnSpPr>
          <a:cxnSpLocks noChangeShapeType="1"/>
        </xdr:cNvCxnSpPr>
      </xdr:nvCxnSpPr>
      <xdr:spPr bwMode="auto">
        <a:xfrm rot="16200000" flipH="1">
          <a:off x="738187" y="121096087"/>
          <a:ext cx="29527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view="pageBreakPreview" zoomScaleSheetLayoutView="100" workbookViewId="0">
      <selection activeCell="E226" sqref="E226:F226"/>
    </sheetView>
  </sheetViews>
  <sheetFormatPr defaultRowHeight="24" x14ac:dyDescent="0.5"/>
  <cols>
    <col min="1" max="1" width="93.3984375" style="55" customWidth="1"/>
    <col min="2" max="2" width="21.3984375" style="55" customWidth="1"/>
    <col min="3" max="3" width="13.19921875" style="55" customWidth="1"/>
    <col min="4" max="4" width="25.796875" style="55" customWidth="1"/>
    <col min="5" max="5" width="13.19921875" style="55" customWidth="1"/>
    <col min="6" max="6" width="21.59765625" style="55" customWidth="1"/>
    <col min="7" max="16384" width="9.59765625" style="55"/>
  </cols>
  <sheetData>
    <row r="1" spans="1:6" x14ac:dyDescent="0.5">
      <c r="A1" s="275" t="s">
        <v>95</v>
      </c>
      <c r="B1" s="275"/>
      <c r="C1" s="275"/>
      <c r="D1" s="275"/>
      <c r="E1" s="275"/>
      <c r="F1" s="275"/>
    </row>
    <row r="2" spans="1:6" x14ac:dyDescent="0.5">
      <c r="A2" s="275" t="s">
        <v>171</v>
      </c>
      <c r="B2" s="275"/>
      <c r="C2" s="275"/>
      <c r="D2" s="275"/>
      <c r="E2" s="275"/>
      <c r="F2" s="275"/>
    </row>
    <row r="3" spans="1:6" ht="24.75" thickBot="1" x14ac:dyDescent="0.55000000000000004">
      <c r="A3" s="276" t="s">
        <v>962</v>
      </c>
      <c r="B3" s="276"/>
      <c r="C3" s="276"/>
      <c r="D3" s="276"/>
      <c r="E3" s="276"/>
      <c r="F3" s="276"/>
    </row>
    <row r="4" spans="1:6" x14ac:dyDescent="0.5">
      <c r="A4" s="277" t="s">
        <v>76</v>
      </c>
      <c r="B4" s="279" t="s">
        <v>1</v>
      </c>
      <c r="C4" s="279" t="s">
        <v>2</v>
      </c>
      <c r="D4" s="279"/>
      <c r="E4" s="279" t="s">
        <v>3</v>
      </c>
      <c r="F4" s="281"/>
    </row>
    <row r="5" spans="1:6" ht="14.25" customHeight="1" thickBot="1" x14ac:dyDescent="0.55000000000000004">
      <c r="A5" s="278"/>
      <c r="B5" s="280"/>
      <c r="C5" s="280"/>
      <c r="D5" s="280"/>
      <c r="E5" s="280"/>
      <c r="F5" s="282"/>
    </row>
    <row r="6" spans="1:6" ht="24.75" thickTop="1" x14ac:dyDescent="0.5">
      <c r="A6" s="59" t="s">
        <v>59</v>
      </c>
      <c r="B6" s="56"/>
      <c r="C6" s="266"/>
      <c r="D6" s="267"/>
      <c r="E6" s="266"/>
      <c r="F6" s="268"/>
    </row>
    <row r="7" spans="1:6" x14ac:dyDescent="0.5">
      <c r="A7" s="59" t="s">
        <v>107</v>
      </c>
      <c r="B7" s="56" t="s">
        <v>88</v>
      </c>
      <c r="C7" s="266">
        <f>8200534.35-1485752+147708.03-35535</f>
        <v>6826955.3799999999</v>
      </c>
      <c r="D7" s="267"/>
      <c r="E7" s="266"/>
      <c r="F7" s="268"/>
    </row>
    <row r="8" spans="1:6" x14ac:dyDescent="0.5">
      <c r="A8" s="59" t="s">
        <v>119</v>
      </c>
      <c r="B8" s="56" t="s">
        <v>91</v>
      </c>
      <c r="C8" s="284">
        <f>2986075.92-147708.03-1249255</f>
        <v>1589112.8900000001</v>
      </c>
      <c r="D8" s="285"/>
      <c r="E8" s="266"/>
      <c r="F8" s="268"/>
    </row>
    <row r="9" spans="1:6" x14ac:dyDescent="0.5">
      <c r="A9" s="59" t="s">
        <v>167</v>
      </c>
      <c r="B9" s="56" t="s">
        <v>88</v>
      </c>
      <c r="C9" s="266">
        <f>5120535.83+10130</f>
        <v>5130665.83</v>
      </c>
      <c r="D9" s="267"/>
      <c r="E9" s="266"/>
      <c r="F9" s="268"/>
    </row>
    <row r="10" spans="1:6" x14ac:dyDescent="0.5">
      <c r="A10" s="59" t="s">
        <v>168</v>
      </c>
      <c r="B10" s="56" t="s">
        <v>91</v>
      </c>
      <c r="C10" s="284">
        <v>0</v>
      </c>
      <c r="D10" s="285"/>
      <c r="E10" s="266"/>
      <c r="F10" s="268"/>
    </row>
    <row r="11" spans="1:6" x14ac:dyDescent="0.5">
      <c r="A11" s="59" t="s">
        <v>108</v>
      </c>
      <c r="B11" s="56" t="s">
        <v>88</v>
      </c>
      <c r="C11" s="284">
        <f>26271170-2106061.2+110661.7+1249255+35535</f>
        <v>25560560.5</v>
      </c>
      <c r="D11" s="285"/>
      <c r="E11" s="266"/>
      <c r="F11" s="268"/>
    </row>
    <row r="12" spans="1:6" x14ac:dyDescent="0.5">
      <c r="A12" s="59" t="s">
        <v>109</v>
      </c>
      <c r="B12" s="56" t="s">
        <v>88</v>
      </c>
      <c r="C12" s="266">
        <v>2184388.52</v>
      </c>
      <c r="D12" s="267"/>
      <c r="E12" s="266"/>
      <c r="F12" s="268"/>
    </row>
    <row r="13" spans="1:6" x14ac:dyDescent="0.5">
      <c r="A13" s="59" t="s">
        <v>364</v>
      </c>
      <c r="B13" s="56" t="s">
        <v>88</v>
      </c>
      <c r="C13" s="266">
        <v>1712961.47</v>
      </c>
      <c r="D13" s="267"/>
      <c r="E13" s="266"/>
      <c r="F13" s="268"/>
    </row>
    <row r="14" spans="1:6" x14ac:dyDescent="0.5">
      <c r="A14" s="59" t="s">
        <v>110</v>
      </c>
      <c r="B14" s="56" t="s">
        <v>89</v>
      </c>
      <c r="C14" s="266">
        <f>5000000+172356.18</f>
        <v>5172356.18</v>
      </c>
      <c r="D14" s="267"/>
      <c r="E14" s="266"/>
      <c r="F14" s="268"/>
    </row>
    <row r="15" spans="1:6" x14ac:dyDescent="0.5">
      <c r="A15" s="59" t="s">
        <v>154</v>
      </c>
      <c r="B15" s="56" t="s">
        <v>89</v>
      </c>
      <c r="C15" s="266">
        <v>5082235.13</v>
      </c>
      <c r="D15" s="267"/>
      <c r="E15" s="266"/>
      <c r="F15" s="268"/>
    </row>
    <row r="16" spans="1:6" s="14" customFormat="1" ht="23.25" x14ac:dyDescent="0.5">
      <c r="A16" s="53" t="s">
        <v>115</v>
      </c>
      <c r="B16" s="54" t="s">
        <v>140</v>
      </c>
      <c r="C16" s="273">
        <f>814639-107699</f>
        <v>706940</v>
      </c>
      <c r="D16" s="283"/>
      <c r="E16" s="273"/>
      <c r="F16" s="274"/>
    </row>
    <row r="17" spans="1:6" x14ac:dyDescent="0.5">
      <c r="A17" s="59" t="s">
        <v>112</v>
      </c>
      <c r="B17" s="56" t="s">
        <v>126</v>
      </c>
      <c r="C17" s="266">
        <v>10430235.93</v>
      </c>
      <c r="D17" s="267"/>
      <c r="E17" s="266"/>
      <c r="F17" s="268"/>
    </row>
    <row r="18" spans="1:6" x14ac:dyDescent="0.5">
      <c r="A18" s="59" t="s">
        <v>116</v>
      </c>
      <c r="B18" s="56" t="s">
        <v>127</v>
      </c>
      <c r="C18" s="266">
        <v>81353788.239999995</v>
      </c>
      <c r="D18" s="267"/>
      <c r="E18" s="266"/>
      <c r="F18" s="268"/>
    </row>
    <row r="19" spans="1:6" x14ac:dyDescent="0.5">
      <c r="A19" s="59" t="s">
        <v>129</v>
      </c>
      <c r="B19" s="56" t="s">
        <v>61</v>
      </c>
      <c r="C19" s="266">
        <f>60560</f>
        <v>60560</v>
      </c>
      <c r="D19" s="267"/>
      <c r="E19" s="266"/>
      <c r="F19" s="268"/>
    </row>
    <row r="20" spans="1:6" x14ac:dyDescent="0.5">
      <c r="A20" s="59" t="s">
        <v>130</v>
      </c>
      <c r="B20" s="56" t="s">
        <v>141</v>
      </c>
      <c r="C20" s="266">
        <v>256900</v>
      </c>
      <c r="D20" s="267"/>
      <c r="E20" s="266"/>
      <c r="F20" s="268"/>
    </row>
    <row r="21" spans="1:6" x14ac:dyDescent="0.5">
      <c r="A21" s="59" t="s">
        <v>56</v>
      </c>
      <c r="B21" s="56" t="s">
        <v>60</v>
      </c>
      <c r="C21" s="266">
        <f>41500+1600330</f>
        <v>1641830</v>
      </c>
      <c r="D21" s="267"/>
      <c r="E21" s="266"/>
      <c r="F21" s="268"/>
    </row>
    <row r="22" spans="1:6" x14ac:dyDescent="0.5">
      <c r="A22" s="59" t="s">
        <v>131</v>
      </c>
      <c r="B22" s="56" t="s">
        <v>142</v>
      </c>
      <c r="C22" s="266">
        <v>449207</v>
      </c>
      <c r="D22" s="267"/>
      <c r="E22" s="266"/>
      <c r="F22" s="268"/>
    </row>
    <row r="23" spans="1:6" x14ac:dyDescent="0.5">
      <c r="A23" s="59" t="s">
        <v>132</v>
      </c>
      <c r="B23" s="56" t="s">
        <v>143</v>
      </c>
      <c r="C23" s="266">
        <f>10471.85-114</f>
        <v>10357.85</v>
      </c>
      <c r="D23" s="267"/>
      <c r="E23" s="266"/>
      <c r="F23" s="268"/>
    </row>
    <row r="24" spans="1:6" x14ac:dyDescent="0.5">
      <c r="A24" s="59" t="s">
        <v>133</v>
      </c>
      <c r="B24" s="56" t="s">
        <v>144</v>
      </c>
      <c r="C24" s="266">
        <f>157496-200</f>
        <v>157296</v>
      </c>
      <c r="D24" s="267"/>
      <c r="E24" s="266"/>
      <c r="F24" s="268"/>
    </row>
    <row r="25" spans="1:6" s="14" customFormat="1" x14ac:dyDescent="0.5">
      <c r="A25" s="59" t="s">
        <v>12</v>
      </c>
      <c r="B25" s="56" t="s">
        <v>62</v>
      </c>
      <c r="C25" s="266"/>
      <c r="D25" s="267"/>
      <c r="E25" s="266"/>
      <c r="F25" s="268"/>
    </row>
    <row r="26" spans="1:6" s="14" customFormat="1" x14ac:dyDescent="0.5">
      <c r="A26" s="59" t="s">
        <v>4</v>
      </c>
      <c r="B26" s="56" t="s">
        <v>63</v>
      </c>
      <c r="C26" s="266">
        <v>503972</v>
      </c>
      <c r="D26" s="267"/>
      <c r="E26" s="266"/>
      <c r="F26" s="268"/>
    </row>
    <row r="27" spans="1:6" x14ac:dyDescent="0.5">
      <c r="A27" s="59" t="s">
        <v>5</v>
      </c>
      <c r="B27" s="56" t="s">
        <v>63</v>
      </c>
      <c r="C27" s="266">
        <v>644390</v>
      </c>
      <c r="D27" s="267"/>
      <c r="E27" s="266"/>
      <c r="F27" s="268"/>
    </row>
    <row r="28" spans="1:6" x14ac:dyDescent="0.5">
      <c r="A28" s="59" t="s">
        <v>6</v>
      </c>
      <c r="B28" s="56" t="s">
        <v>64</v>
      </c>
      <c r="C28" s="266">
        <v>6000</v>
      </c>
      <c r="D28" s="267"/>
      <c r="E28" s="266"/>
      <c r="F28" s="268"/>
    </row>
    <row r="29" spans="1:6" x14ac:dyDescent="0.5">
      <c r="A29" s="59" t="s">
        <v>7</v>
      </c>
      <c r="B29" s="56" t="s">
        <v>65</v>
      </c>
      <c r="C29" s="266">
        <v>30300</v>
      </c>
      <c r="D29" s="267"/>
      <c r="E29" s="266"/>
      <c r="F29" s="268"/>
    </row>
    <row r="30" spans="1:6" x14ac:dyDescent="0.5">
      <c r="A30" s="59" t="s">
        <v>8</v>
      </c>
      <c r="B30" s="56" t="s">
        <v>66</v>
      </c>
      <c r="C30" s="266">
        <v>20000</v>
      </c>
      <c r="D30" s="267"/>
      <c r="E30" s="266"/>
      <c r="F30" s="268"/>
    </row>
    <row r="31" spans="1:6" x14ac:dyDescent="0.5">
      <c r="A31" s="59" t="s">
        <v>9</v>
      </c>
      <c r="B31" s="56" t="s">
        <v>67</v>
      </c>
      <c r="C31" s="266"/>
      <c r="D31" s="267"/>
      <c r="E31" s="266"/>
      <c r="F31" s="268"/>
    </row>
    <row r="32" spans="1:6" x14ac:dyDescent="0.5">
      <c r="A32" s="59" t="s">
        <v>10</v>
      </c>
      <c r="B32" s="56" t="s">
        <v>69</v>
      </c>
      <c r="C32" s="266"/>
      <c r="D32" s="267"/>
      <c r="E32" s="266"/>
      <c r="F32" s="268"/>
    </row>
    <row r="33" spans="1:6" x14ac:dyDescent="0.5">
      <c r="A33" s="59" t="s">
        <v>11</v>
      </c>
      <c r="B33" s="56" t="s">
        <v>70</v>
      </c>
      <c r="C33" s="266"/>
      <c r="D33" s="267"/>
      <c r="E33" s="266"/>
      <c r="F33" s="268"/>
    </row>
    <row r="34" spans="1:6" x14ac:dyDescent="0.5">
      <c r="A34" s="59" t="s">
        <v>13</v>
      </c>
      <c r="B34" s="56" t="s">
        <v>68</v>
      </c>
      <c r="C34" s="284"/>
      <c r="D34" s="285"/>
      <c r="E34" s="266"/>
      <c r="F34" s="268"/>
    </row>
    <row r="35" spans="1:6" x14ac:dyDescent="0.5">
      <c r="A35" s="59" t="s">
        <v>14</v>
      </c>
      <c r="B35" s="56" t="s">
        <v>71</v>
      </c>
      <c r="C35" s="266"/>
      <c r="D35" s="267"/>
      <c r="E35" s="266">
        <f>2988100.83-200</f>
        <v>2987900.83</v>
      </c>
      <c r="F35" s="268"/>
    </row>
    <row r="36" spans="1:6" x14ac:dyDescent="0.5">
      <c r="A36" s="59" t="s">
        <v>46</v>
      </c>
      <c r="B36" s="56" t="s">
        <v>74</v>
      </c>
      <c r="C36" s="266"/>
      <c r="D36" s="267"/>
      <c r="E36" s="266">
        <f>'รายละเอียด(หมายเหตุ2)'!F21</f>
        <v>4410866.12</v>
      </c>
      <c r="F36" s="268"/>
    </row>
    <row r="37" spans="1:6" x14ac:dyDescent="0.5">
      <c r="A37" s="59" t="s">
        <v>114</v>
      </c>
      <c r="B37" s="56" t="s">
        <v>145</v>
      </c>
      <c r="C37" s="266"/>
      <c r="D37" s="267"/>
      <c r="E37" s="266">
        <f>1201877-107699</f>
        <v>1094178</v>
      </c>
      <c r="F37" s="268"/>
    </row>
    <row r="38" spans="1:6" x14ac:dyDescent="0.5">
      <c r="A38" s="53" t="s">
        <v>111</v>
      </c>
      <c r="B38" s="54" t="s">
        <v>75</v>
      </c>
      <c r="C38" s="273"/>
      <c r="D38" s="283"/>
      <c r="E38" s="273">
        <f>583099.95-508015</f>
        <v>75084.949999999953</v>
      </c>
      <c r="F38" s="274"/>
    </row>
    <row r="39" spans="1:6" x14ac:dyDescent="0.5">
      <c r="A39" s="53" t="s">
        <v>92</v>
      </c>
      <c r="B39" s="54" t="s">
        <v>93</v>
      </c>
      <c r="C39" s="273"/>
      <c r="D39" s="283"/>
      <c r="E39" s="273">
        <v>1200000</v>
      </c>
      <c r="F39" s="274"/>
    </row>
    <row r="40" spans="1:6" s="14" customFormat="1" x14ac:dyDescent="0.5">
      <c r="A40" s="59" t="s">
        <v>113</v>
      </c>
      <c r="B40" s="56" t="s">
        <v>128</v>
      </c>
      <c r="C40" s="266"/>
      <c r="D40" s="267"/>
      <c r="E40" s="266">
        <v>64468830.079999998</v>
      </c>
      <c r="F40" s="268"/>
    </row>
    <row r="41" spans="1:6" x14ac:dyDescent="0.5">
      <c r="A41" s="59" t="s">
        <v>15</v>
      </c>
      <c r="B41" s="56" t="s">
        <v>73</v>
      </c>
      <c r="C41" s="266"/>
      <c r="D41" s="267"/>
      <c r="E41" s="266">
        <f>42856833.59+3939.09</f>
        <v>42860772.680000007</v>
      </c>
      <c r="F41" s="268"/>
    </row>
    <row r="42" spans="1:6" x14ac:dyDescent="0.5">
      <c r="A42" s="59" t="s">
        <v>54</v>
      </c>
      <c r="B42" s="56" t="s">
        <v>72</v>
      </c>
      <c r="C42" s="266"/>
      <c r="D42" s="267"/>
      <c r="E42" s="266">
        <v>32433380.260000002</v>
      </c>
      <c r="F42" s="268"/>
    </row>
    <row r="43" spans="1:6" ht="24.75" thickBot="1" x14ac:dyDescent="0.55000000000000004">
      <c r="A43" s="60" t="s">
        <v>45</v>
      </c>
      <c r="B43" s="61"/>
      <c r="C43" s="269">
        <f>SUM(C6:C42)</f>
        <v>149531012.91999999</v>
      </c>
      <c r="D43" s="270"/>
      <c r="E43" s="269">
        <f>SUM(E6:E42)</f>
        <v>149531012.91999999</v>
      </c>
      <c r="F43" s="271"/>
    </row>
    <row r="44" spans="1:6" x14ac:dyDescent="0.5">
      <c r="A44" s="272"/>
      <c r="B44" s="272"/>
      <c r="C44" s="272"/>
      <c r="D44" s="57"/>
      <c r="E44" s="58"/>
      <c r="F44" s="58"/>
    </row>
    <row r="45" spans="1:6" ht="26.25" x14ac:dyDescent="0.55000000000000004">
      <c r="A45" s="66" t="s">
        <v>169</v>
      </c>
      <c r="B45" s="66"/>
      <c r="C45" s="263" t="s">
        <v>118</v>
      </c>
      <c r="D45" s="263"/>
      <c r="E45" s="263"/>
      <c r="F45" s="263"/>
    </row>
    <row r="46" spans="1:6" ht="26.25" x14ac:dyDescent="0.55000000000000004">
      <c r="A46" s="66" t="s">
        <v>170</v>
      </c>
      <c r="B46" s="66"/>
      <c r="C46" s="264" t="s">
        <v>964</v>
      </c>
      <c r="D46" s="264"/>
      <c r="E46" s="264"/>
      <c r="F46" s="264"/>
    </row>
    <row r="47" spans="1:6" s="63" customFormat="1" ht="26.25" x14ac:dyDescent="0.55000000000000004">
      <c r="A47" s="67" t="s">
        <v>148</v>
      </c>
      <c r="B47" s="68"/>
      <c r="C47" s="265" t="s">
        <v>965</v>
      </c>
      <c r="D47" s="265"/>
      <c r="E47" s="265"/>
      <c r="F47" s="265"/>
    </row>
    <row r="48" spans="1:6" s="63" customFormat="1" ht="26.25" x14ac:dyDescent="0.55000000000000004">
      <c r="A48" s="55"/>
      <c r="B48" s="55"/>
      <c r="C48" s="132" t="s">
        <v>966</v>
      </c>
      <c r="D48" s="132"/>
      <c r="E48" s="55"/>
      <c r="F48" s="55"/>
    </row>
    <row r="49" spans="1:6" x14ac:dyDescent="0.5">
      <c r="A49" s="275" t="s">
        <v>95</v>
      </c>
      <c r="B49" s="275"/>
      <c r="C49" s="275"/>
      <c r="D49" s="275"/>
      <c r="E49" s="275"/>
      <c r="F49" s="275"/>
    </row>
    <row r="50" spans="1:6" s="63" customFormat="1" ht="26.25" x14ac:dyDescent="0.55000000000000004">
      <c r="A50" s="275" t="s">
        <v>171</v>
      </c>
      <c r="B50" s="275"/>
      <c r="C50" s="275"/>
      <c r="D50" s="275"/>
      <c r="E50" s="275"/>
      <c r="F50" s="275"/>
    </row>
    <row r="51" spans="1:6" ht="24.75" thickBot="1" x14ac:dyDescent="0.55000000000000004">
      <c r="A51" s="276" t="s">
        <v>977</v>
      </c>
      <c r="B51" s="276"/>
      <c r="C51" s="276"/>
      <c r="D51" s="276"/>
      <c r="E51" s="276"/>
      <c r="F51" s="276"/>
    </row>
    <row r="52" spans="1:6" x14ac:dyDescent="0.5">
      <c r="A52" s="277" t="s">
        <v>76</v>
      </c>
      <c r="B52" s="279" t="s">
        <v>1</v>
      </c>
      <c r="C52" s="279" t="s">
        <v>2</v>
      </c>
      <c r="D52" s="279"/>
      <c r="E52" s="279" t="s">
        <v>3</v>
      </c>
      <c r="F52" s="281"/>
    </row>
    <row r="53" spans="1:6" ht="24.75" thickBot="1" x14ac:dyDescent="0.55000000000000004">
      <c r="A53" s="278"/>
      <c r="B53" s="280"/>
      <c r="C53" s="280"/>
      <c r="D53" s="280"/>
      <c r="E53" s="280"/>
      <c r="F53" s="282"/>
    </row>
    <row r="54" spans="1:6" ht="24.75" thickTop="1" x14ac:dyDescent="0.5">
      <c r="A54" s="59" t="s">
        <v>59</v>
      </c>
      <c r="B54" s="56"/>
      <c r="C54" s="266"/>
      <c r="D54" s="267"/>
      <c r="E54" s="266"/>
      <c r="F54" s="268"/>
    </row>
    <row r="55" spans="1:6" x14ac:dyDescent="0.5">
      <c r="A55" s="59" t="s">
        <v>107</v>
      </c>
      <c r="B55" s="56" t="s">
        <v>88</v>
      </c>
      <c r="C55" s="266">
        <f>C7-3214217.21+5787724.55+420812</f>
        <v>9821274.7199999988</v>
      </c>
      <c r="D55" s="267"/>
      <c r="E55" s="266"/>
      <c r="F55" s="268"/>
    </row>
    <row r="56" spans="1:6" x14ac:dyDescent="0.5">
      <c r="A56" s="59" t="s">
        <v>119</v>
      </c>
      <c r="B56" s="56" t="s">
        <v>91</v>
      </c>
      <c r="C56" s="266">
        <f>C8+16062716.12-1589112.89-5787724.55-792980-420812-2000999.57-7060200</f>
        <v>0</v>
      </c>
      <c r="D56" s="267"/>
      <c r="E56" s="266"/>
      <c r="F56" s="268"/>
    </row>
    <row r="57" spans="1:6" x14ac:dyDescent="0.5">
      <c r="A57" s="59" t="s">
        <v>167</v>
      </c>
      <c r="B57" s="56" t="s">
        <v>88</v>
      </c>
      <c r="C57" s="266">
        <f>C9+16916</f>
        <v>5147581.83</v>
      </c>
      <c r="D57" s="267"/>
      <c r="E57" s="266"/>
      <c r="F57" s="268"/>
    </row>
    <row r="58" spans="1:6" x14ac:dyDescent="0.5">
      <c r="A58" s="59" t="s">
        <v>168</v>
      </c>
      <c r="B58" s="56" t="s">
        <v>91</v>
      </c>
      <c r="C58" s="266">
        <f t="shared" ref="C58:C72" si="0">C10</f>
        <v>0</v>
      </c>
      <c r="D58" s="267"/>
      <c r="E58" s="266"/>
      <c r="F58" s="268"/>
    </row>
    <row r="59" spans="1:6" x14ac:dyDescent="0.5">
      <c r="A59" s="59" t="s">
        <v>108</v>
      </c>
      <c r="B59" s="56" t="s">
        <v>88</v>
      </c>
      <c r="C59" s="266">
        <f>C11+98577-3055051.81+1589112.89+792980+2000999.57+7060200</f>
        <v>34047378.150000006</v>
      </c>
      <c r="D59" s="267"/>
      <c r="E59" s="266"/>
      <c r="F59" s="268"/>
    </row>
    <row r="60" spans="1:6" x14ac:dyDescent="0.5">
      <c r="A60" s="59" t="s">
        <v>109</v>
      </c>
      <c r="B60" s="56" t="s">
        <v>88</v>
      </c>
      <c r="C60" s="266">
        <f t="shared" si="0"/>
        <v>2184388.52</v>
      </c>
      <c r="D60" s="267"/>
      <c r="E60" s="266"/>
      <c r="F60" s="268"/>
    </row>
    <row r="61" spans="1:6" x14ac:dyDescent="0.5">
      <c r="A61" s="59" t="s">
        <v>364</v>
      </c>
      <c r="B61" s="56" t="s">
        <v>88</v>
      </c>
      <c r="C61" s="266">
        <f t="shared" si="0"/>
        <v>1712961.47</v>
      </c>
      <c r="D61" s="267"/>
      <c r="E61" s="266"/>
      <c r="F61" s="268"/>
    </row>
    <row r="62" spans="1:6" x14ac:dyDescent="0.5">
      <c r="A62" s="59" t="s">
        <v>110</v>
      </c>
      <c r="B62" s="56" t="s">
        <v>89</v>
      </c>
      <c r="C62" s="266">
        <f t="shared" si="0"/>
        <v>5172356.18</v>
      </c>
      <c r="D62" s="267"/>
      <c r="E62" s="266"/>
      <c r="F62" s="268"/>
    </row>
    <row r="63" spans="1:6" x14ac:dyDescent="0.5">
      <c r="A63" s="59" t="s">
        <v>154</v>
      </c>
      <c r="B63" s="56" t="s">
        <v>89</v>
      </c>
      <c r="C63" s="266">
        <f t="shared" si="0"/>
        <v>5082235.13</v>
      </c>
      <c r="D63" s="267"/>
      <c r="E63" s="266"/>
      <c r="F63" s="268"/>
    </row>
    <row r="64" spans="1:6" x14ac:dyDescent="0.5">
      <c r="A64" s="53" t="s">
        <v>115</v>
      </c>
      <c r="B64" s="54" t="s">
        <v>140</v>
      </c>
      <c r="C64" s="266">
        <f>C16-320000</f>
        <v>386940</v>
      </c>
      <c r="D64" s="267"/>
      <c r="E64" s="273"/>
      <c r="F64" s="274"/>
    </row>
    <row r="65" spans="1:6" x14ac:dyDescent="0.5">
      <c r="A65" s="59" t="s">
        <v>112</v>
      </c>
      <c r="B65" s="56" t="s">
        <v>126</v>
      </c>
      <c r="C65" s="266">
        <f>C17+1457678.55</f>
        <v>11887914.48</v>
      </c>
      <c r="D65" s="267"/>
      <c r="E65" s="266"/>
      <c r="F65" s="268"/>
    </row>
    <row r="66" spans="1:6" x14ac:dyDescent="0.5">
      <c r="A66" s="59" t="s">
        <v>116</v>
      </c>
      <c r="B66" s="56" t="s">
        <v>127</v>
      </c>
      <c r="C66" s="266">
        <f t="shared" si="0"/>
        <v>81353788.239999995</v>
      </c>
      <c r="D66" s="267"/>
      <c r="E66" s="266"/>
      <c r="F66" s="268"/>
    </row>
    <row r="67" spans="1:6" x14ac:dyDescent="0.5">
      <c r="A67" s="59" t="s">
        <v>129</v>
      </c>
      <c r="B67" s="56" t="s">
        <v>61</v>
      </c>
      <c r="C67" s="266">
        <f>C19+11194-42000</f>
        <v>29754</v>
      </c>
      <c r="D67" s="267"/>
      <c r="E67" s="266"/>
      <c r="F67" s="268"/>
    </row>
    <row r="68" spans="1:6" x14ac:dyDescent="0.5">
      <c r="A68" s="59" t="s">
        <v>130</v>
      </c>
      <c r="B68" s="56" t="s">
        <v>141</v>
      </c>
      <c r="C68" s="266">
        <f t="shared" si="0"/>
        <v>256900</v>
      </c>
      <c r="D68" s="267"/>
      <c r="E68" s="266"/>
      <c r="F68" s="268"/>
    </row>
    <row r="69" spans="1:6" x14ac:dyDescent="0.5">
      <c r="A69" s="59" t="s">
        <v>56</v>
      </c>
      <c r="B69" s="56" t="s">
        <v>60</v>
      </c>
      <c r="C69" s="266">
        <f>C21-1400+1603290</f>
        <v>3243720</v>
      </c>
      <c r="D69" s="267"/>
      <c r="E69" s="266"/>
      <c r="F69" s="268"/>
    </row>
    <row r="70" spans="1:6" x14ac:dyDescent="0.5">
      <c r="A70" s="59" t="s">
        <v>131</v>
      </c>
      <c r="B70" s="56" t="s">
        <v>142</v>
      </c>
      <c r="C70" s="266">
        <f t="shared" si="0"/>
        <v>449207</v>
      </c>
      <c r="D70" s="267"/>
      <c r="E70" s="266"/>
      <c r="F70" s="268"/>
    </row>
    <row r="71" spans="1:6" x14ac:dyDescent="0.5">
      <c r="A71" s="59" t="s">
        <v>132</v>
      </c>
      <c r="B71" s="56" t="s">
        <v>143</v>
      </c>
      <c r="C71" s="266">
        <f t="shared" si="0"/>
        <v>10357.85</v>
      </c>
      <c r="D71" s="267"/>
      <c r="E71" s="266"/>
      <c r="F71" s="268"/>
    </row>
    <row r="72" spans="1:6" x14ac:dyDescent="0.5">
      <c r="A72" s="59" t="s">
        <v>133</v>
      </c>
      <c r="B72" s="56" t="s">
        <v>144</v>
      </c>
      <c r="C72" s="266">
        <f t="shared" si="0"/>
        <v>157296</v>
      </c>
      <c r="D72" s="267"/>
      <c r="E72" s="266"/>
      <c r="F72" s="268"/>
    </row>
    <row r="73" spans="1:6" x14ac:dyDescent="0.5">
      <c r="A73" s="59" t="s">
        <v>12</v>
      </c>
      <c r="B73" s="56" t="s">
        <v>62</v>
      </c>
      <c r="C73" s="266">
        <v>52992</v>
      </c>
      <c r="D73" s="267"/>
      <c r="E73" s="266"/>
      <c r="F73" s="268"/>
    </row>
    <row r="74" spans="1:6" x14ac:dyDescent="0.5">
      <c r="A74" s="59" t="s">
        <v>4</v>
      </c>
      <c r="B74" s="56" t="s">
        <v>63</v>
      </c>
      <c r="C74" s="266">
        <f>503972+474730</f>
        <v>978702</v>
      </c>
      <c r="D74" s="267"/>
      <c r="E74" s="266"/>
      <c r="F74" s="268"/>
    </row>
    <row r="75" spans="1:6" x14ac:dyDescent="0.5">
      <c r="A75" s="59" t="s">
        <v>5</v>
      </c>
      <c r="B75" s="56" t="s">
        <v>63</v>
      </c>
      <c r="C75" s="266">
        <f>644390+620390</f>
        <v>1264780</v>
      </c>
      <c r="D75" s="267"/>
      <c r="E75" s="266"/>
      <c r="F75" s="268"/>
    </row>
    <row r="76" spans="1:6" x14ac:dyDescent="0.5">
      <c r="A76" s="59" t="s">
        <v>6</v>
      </c>
      <c r="B76" s="56" t="s">
        <v>64</v>
      </c>
      <c r="C76" s="266">
        <f>6000+16586</f>
        <v>22586</v>
      </c>
      <c r="D76" s="267"/>
      <c r="E76" s="266"/>
      <c r="F76" s="268"/>
    </row>
    <row r="77" spans="1:6" x14ac:dyDescent="0.5">
      <c r="A77" s="59" t="s">
        <v>7</v>
      </c>
      <c r="B77" s="56" t="s">
        <v>65</v>
      </c>
      <c r="C77" s="266">
        <f>30300+876771+42000</f>
        <v>949071</v>
      </c>
      <c r="D77" s="267"/>
      <c r="E77" s="266"/>
      <c r="F77" s="268"/>
    </row>
    <row r="78" spans="1:6" x14ac:dyDescent="0.5">
      <c r="A78" s="59" t="s">
        <v>292</v>
      </c>
      <c r="B78" s="56" t="s">
        <v>293</v>
      </c>
      <c r="C78" s="266">
        <v>489780</v>
      </c>
      <c r="D78" s="267"/>
      <c r="E78" s="266"/>
      <c r="F78" s="268"/>
    </row>
    <row r="79" spans="1:6" x14ac:dyDescent="0.5">
      <c r="A79" s="59" t="s">
        <v>8</v>
      </c>
      <c r="B79" s="56" t="s">
        <v>66</v>
      </c>
      <c r="C79" s="266">
        <f>20000+153934.66</f>
        <v>173934.66</v>
      </c>
      <c r="D79" s="267"/>
      <c r="E79" s="266"/>
      <c r="F79" s="268"/>
    </row>
    <row r="80" spans="1:6" x14ac:dyDescent="0.5">
      <c r="A80" s="59" t="s">
        <v>9</v>
      </c>
      <c r="B80" s="56" t="s">
        <v>67</v>
      </c>
      <c r="C80" s="266">
        <f>140267.94+0.58</f>
        <v>140268.51999999999</v>
      </c>
      <c r="D80" s="267"/>
      <c r="E80" s="266"/>
      <c r="F80" s="268"/>
    </row>
    <row r="81" spans="1:6" x14ac:dyDescent="0.5">
      <c r="A81" s="59" t="s">
        <v>10</v>
      </c>
      <c r="B81" s="56" t="s">
        <v>69</v>
      </c>
      <c r="C81" s="266"/>
      <c r="D81" s="267"/>
      <c r="E81" s="266"/>
      <c r="F81" s="268"/>
    </row>
    <row r="82" spans="1:6" x14ac:dyDescent="0.5">
      <c r="A82" s="59" t="s">
        <v>11</v>
      </c>
      <c r="B82" s="56" t="s">
        <v>70</v>
      </c>
      <c r="C82" s="266"/>
      <c r="D82" s="267"/>
      <c r="E82" s="266"/>
      <c r="F82" s="268"/>
    </row>
    <row r="83" spans="1:6" x14ac:dyDescent="0.5">
      <c r="A83" s="59" t="s">
        <v>13</v>
      </c>
      <c r="B83" s="56" t="s">
        <v>68</v>
      </c>
      <c r="C83" s="284"/>
      <c r="D83" s="285"/>
      <c r="E83" s="266"/>
      <c r="F83" s="268"/>
    </row>
    <row r="84" spans="1:6" x14ac:dyDescent="0.5">
      <c r="A84" s="59" t="s">
        <v>14</v>
      </c>
      <c r="B84" s="56" t="s">
        <v>71</v>
      </c>
      <c r="C84" s="266"/>
      <c r="D84" s="267"/>
      <c r="E84" s="266">
        <f>E35+8321529.12+7060200+489780</f>
        <v>18859409.949999999</v>
      </c>
      <c r="F84" s="268"/>
    </row>
    <row r="85" spans="1:6" x14ac:dyDescent="0.5">
      <c r="A85" s="59" t="s">
        <v>46</v>
      </c>
      <c r="B85" s="56" t="s">
        <v>74</v>
      </c>
      <c r="C85" s="266"/>
      <c r="D85" s="267"/>
      <c r="E85" s="266">
        <f>'รายละเอียด(หมายเหตุ2)'!F55</f>
        <v>4417310.83</v>
      </c>
      <c r="F85" s="268"/>
    </row>
    <row r="86" spans="1:6" x14ac:dyDescent="0.5">
      <c r="A86" s="59" t="s">
        <v>114</v>
      </c>
      <c r="B86" s="56" t="s">
        <v>145</v>
      </c>
      <c r="C86" s="266"/>
      <c r="D86" s="267"/>
      <c r="E86" s="266">
        <f>E37-320000</f>
        <v>774178</v>
      </c>
      <c r="F86" s="268"/>
    </row>
    <row r="87" spans="1:6" x14ac:dyDescent="0.5">
      <c r="A87" s="59" t="s">
        <v>975</v>
      </c>
      <c r="B87" s="56"/>
      <c r="C87" s="266"/>
      <c r="D87" s="267"/>
      <c r="E87" s="266">
        <v>2100</v>
      </c>
      <c r="F87" s="268"/>
    </row>
    <row r="88" spans="1:6" x14ac:dyDescent="0.5">
      <c r="A88" s="53" t="s">
        <v>111</v>
      </c>
      <c r="B88" s="54" t="s">
        <v>75</v>
      </c>
      <c r="C88" s="273"/>
      <c r="D88" s="283"/>
      <c r="E88" s="266">
        <f>E38-74899</f>
        <v>185.94999999995343</v>
      </c>
      <c r="F88" s="268"/>
    </row>
    <row r="89" spans="1:6" x14ac:dyDescent="0.5">
      <c r="A89" s="53" t="s">
        <v>92</v>
      </c>
      <c r="B89" s="54" t="s">
        <v>93</v>
      </c>
      <c r="C89" s="273"/>
      <c r="D89" s="283"/>
      <c r="E89" s="266">
        <f>E39</f>
        <v>1200000</v>
      </c>
      <c r="F89" s="268"/>
    </row>
    <row r="90" spans="1:6" x14ac:dyDescent="0.5">
      <c r="A90" s="59" t="s">
        <v>113</v>
      </c>
      <c r="B90" s="56" t="s">
        <v>128</v>
      </c>
      <c r="C90" s="266"/>
      <c r="D90" s="267"/>
      <c r="E90" s="266">
        <f>E40</f>
        <v>64468830.079999998</v>
      </c>
      <c r="F90" s="268"/>
    </row>
    <row r="91" spans="1:6" x14ac:dyDescent="0.5">
      <c r="A91" s="59" t="s">
        <v>15</v>
      </c>
      <c r="B91" s="56" t="s">
        <v>73</v>
      </c>
      <c r="C91" s="266"/>
      <c r="D91" s="267"/>
      <c r="E91" s="266">
        <f>E41</f>
        <v>42860772.680000007</v>
      </c>
      <c r="F91" s="268"/>
    </row>
    <row r="92" spans="1:6" x14ac:dyDescent="0.5">
      <c r="A92" s="59" t="s">
        <v>54</v>
      </c>
      <c r="B92" s="56" t="s">
        <v>72</v>
      </c>
      <c r="C92" s="266"/>
      <c r="D92" s="267"/>
      <c r="E92" s="266">
        <f>E42</f>
        <v>32433380.260000002</v>
      </c>
      <c r="F92" s="268"/>
    </row>
    <row r="93" spans="1:6" ht="24.75" thickBot="1" x14ac:dyDescent="0.55000000000000004">
      <c r="A93" s="60" t="s">
        <v>45</v>
      </c>
      <c r="B93" s="61"/>
      <c r="C93" s="269">
        <f>SUM(C54:C92)</f>
        <v>165016167.75</v>
      </c>
      <c r="D93" s="270"/>
      <c r="E93" s="269">
        <f>SUM(E54:E92)</f>
        <v>165016167.75</v>
      </c>
      <c r="F93" s="271"/>
    </row>
    <row r="94" spans="1:6" x14ac:dyDescent="0.5">
      <c r="A94" s="272"/>
      <c r="B94" s="272"/>
      <c r="C94" s="272"/>
      <c r="D94" s="57"/>
      <c r="E94" s="58"/>
      <c r="F94" s="58"/>
    </row>
    <row r="95" spans="1:6" ht="26.25" x14ac:dyDescent="0.55000000000000004">
      <c r="A95" s="66" t="s">
        <v>169</v>
      </c>
      <c r="B95" s="66"/>
      <c r="C95" s="263" t="s">
        <v>118</v>
      </c>
      <c r="D95" s="263"/>
      <c r="E95" s="263"/>
      <c r="F95" s="263"/>
    </row>
    <row r="96" spans="1:6" ht="26.25" x14ac:dyDescent="0.55000000000000004">
      <c r="A96" s="66" t="s">
        <v>170</v>
      </c>
      <c r="B96" s="66"/>
      <c r="C96" s="264" t="s">
        <v>175</v>
      </c>
      <c r="D96" s="264"/>
      <c r="E96" s="264"/>
      <c r="F96" s="264"/>
    </row>
    <row r="97" spans="1:6" ht="26.25" x14ac:dyDescent="0.55000000000000004">
      <c r="A97" s="67" t="s">
        <v>148</v>
      </c>
      <c r="B97" s="68"/>
      <c r="C97" s="265" t="s">
        <v>978</v>
      </c>
      <c r="D97" s="265"/>
      <c r="E97" s="265"/>
      <c r="F97" s="265"/>
    </row>
    <row r="98" spans="1:6" ht="26.25" x14ac:dyDescent="0.55000000000000004">
      <c r="A98" s="67"/>
      <c r="B98" s="68"/>
      <c r="C98" s="233"/>
      <c r="D98" s="233"/>
      <c r="E98" s="233"/>
      <c r="F98" s="233"/>
    </row>
    <row r="99" spans="1:6" x14ac:dyDescent="0.5">
      <c r="A99" s="275" t="s">
        <v>95</v>
      </c>
      <c r="B99" s="275"/>
      <c r="C99" s="275"/>
      <c r="D99" s="275"/>
      <c r="E99" s="275"/>
      <c r="F99" s="275"/>
    </row>
    <row r="100" spans="1:6" x14ac:dyDescent="0.5">
      <c r="A100" s="275" t="s">
        <v>171</v>
      </c>
      <c r="B100" s="275"/>
      <c r="C100" s="275"/>
      <c r="D100" s="275"/>
      <c r="E100" s="275"/>
      <c r="F100" s="275"/>
    </row>
    <row r="101" spans="1:6" ht="24.75" thickBot="1" x14ac:dyDescent="0.55000000000000004">
      <c r="A101" s="276" t="s">
        <v>985</v>
      </c>
      <c r="B101" s="276"/>
      <c r="C101" s="276"/>
      <c r="D101" s="276"/>
      <c r="E101" s="276"/>
      <c r="F101" s="276"/>
    </row>
    <row r="102" spans="1:6" x14ac:dyDescent="0.5">
      <c r="A102" s="277" t="s">
        <v>76</v>
      </c>
      <c r="B102" s="279" t="s">
        <v>1</v>
      </c>
      <c r="C102" s="279" t="s">
        <v>2</v>
      </c>
      <c r="D102" s="279"/>
      <c r="E102" s="279" t="s">
        <v>3</v>
      </c>
      <c r="F102" s="281"/>
    </row>
    <row r="103" spans="1:6" ht="24.75" thickBot="1" x14ac:dyDescent="0.55000000000000004">
      <c r="A103" s="278"/>
      <c r="B103" s="280"/>
      <c r="C103" s="280"/>
      <c r="D103" s="280"/>
      <c r="E103" s="280"/>
      <c r="F103" s="282"/>
    </row>
    <row r="104" spans="1:6" ht="24.75" thickTop="1" x14ac:dyDescent="0.5">
      <c r="A104" s="59" t="s">
        <v>59</v>
      </c>
      <c r="B104" s="56"/>
      <c r="C104" s="266"/>
      <c r="D104" s="267"/>
      <c r="E104" s="266"/>
      <c r="F104" s="268"/>
    </row>
    <row r="105" spans="1:6" x14ac:dyDescent="0.5">
      <c r="A105" s="59" t="s">
        <v>107</v>
      </c>
      <c r="B105" s="56" t="s">
        <v>88</v>
      </c>
      <c r="C105" s="266">
        <f>C55-4119489.68</f>
        <v>5701785.0399999991</v>
      </c>
      <c r="D105" s="267"/>
      <c r="E105" s="266"/>
      <c r="F105" s="268"/>
    </row>
    <row r="106" spans="1:6" x14ac:dyDescent="0.5">
      <c r="A106" s="59" t="s">
        <v>119</v>
      </c>
      <c r="B106" s="56" t="s">
        <v>91</v>
      </c>
      <c r="C106" s="266">
        <f>30644103.83-574194.84-29919368.99</f>
        <v>150540</v>
      </c>
      <c r="D106" s="267"/>
      <c r="E106" s="266"/>
      <c r="F106" s="268"/>
    </row>
    <row r="107" spans="1:6" x14ac:dyDescent="0.5">
      <c r="A107" s="59" t="s">
        <v>167</v>
      </c>
      <c r="B107" s="56" t="s">
        <v>88</v>
      </c>
      <c r="C107" s="266">
        <f>C57+22332</f>
        <v>5169913.83</v>
      </c>
      <c r="D107" s="267"/>
      <c r="E107" s="266"/>
      <c r="F107" s="268"/>
    </row>
    <row r="108" spans="1:6" x14ac:dyDescent="0.5">
      <c r="A108" s="59" t="s">
        <v>168</v>
      </c>
      <c r="B108" s="56" t="s">
        <v>91</v>
      </c>
      <c r="C108" s="266">
        <f t="shared" ref="C108:C121" si="1">C58</f>
        <v>0</v>
      </c>
      <c r="D108" s="267"/>
      <c r="E108" s="266"/>
      <c r="F108" s="268"/>
    </row>
    <row r="109" spans="1:6" x14ac:dyDescent="0.5">
      <c r="A109" s="59" t="s">
        <v>108</v>
      </c>
      <c r="B109" s="56" t="s">
        <v>88</v>
      </c>
      <c r="C109" s="266">
        <f>C59-3532981.92+162664.7+5800+1200+1500+500+574194.84</f>
        <v>31260255.770000003</v>
      </c>
      <c r="D109" s="267"/>
      <c r="E109" s="266"/>
      <c r="F109" s="268"/>
    </row>
    <row r="110" spans="1:6" x14ac:dyDescent="0.5">
      <c r="A110" s="59" t="s">
        <v>109</v>
      </c>
      <c r="B110" s="56" t="s">
        <v>88</v>
      </c>
      <c r="C110" s="266">
        <f>C60+1158885</f>
        <v>3343273.52</v>
      </c>
      <c r="D110" s="267"/>
      <c r="E110" s="266"/>
      <c r="F110" s="268"/>
    </row>
    <row r="111" spans="1:6" x14ac:dyDescent="0.5">
      <c r="A111" s="59" t="s">
        <v>364</v>
      </c>
      <c r="B111" s="56" t="s">
        <v>88</v>
      </c>
      <c r="C111" s="266">
        <f t="shared" si="1"/>
        <v>1712961.47</v>
      </c>
      <c r="D111" s="267"/>
      <c r="E111" s="266"/>
      <c r="F111" s="268"/>
    </row>
    <row r="112" spans="1:6" x14ac:dyDescent="0.5">
      <c r="A112" s="59" t="s">
        <v>110</v>
      </c>
      <c r="B112" s="56" t="s">
        <v>89</v>
      </c>
      <c r="C112" s="266">
        <f>C62+29919368.99+59884.84</f>
        <v>35151610.010000005</v>
      </c>
      <c r="D112" s="267"/>
      <c r="E112" s="266"/>
      <c r="F112" s="268"/>
    </row>
    <row r="113" spans="1:6" x14ac:dyDescent="0.5">
      <c r="A113" s="59" t="s">
        <v>154</v>
      </c>
      <c r="B113" s="56" t="s">
        <v>89</v>
      </c>
      <c r="C113" s="266">
        <f>C63</f>
        <v>5082235.13</v>
      </c>
      <c r="D113" s="267"/>
      <c r="E113" s="266"/>
      <c r="F113" s="268"/>
    </row>
    <row r="114" spans="1:6" x14ac:dyDescent="0.5">
      <c r="A114" s="53" t="s">
        <v>115</v>
      </c>
      <c r="B114" s="54" t="s">
        <v>140</v>
      </c>
      <c r="C114" s="266">
        <f>C64-141440</f>
        <v>245500</v>
      </c>
      <c r="D114" s="267"/>
      <c r="E114" s="273"/>
      <c r="F114" s="274"/>
    </row>
    <row r="115" spans="1:6" x14ac:dyDescent="0.5">
      <c r="A115" s="59" t="s">
        <v>112</v>
      </c>
      <c r="B115" s="56" t="s">
        <v>126</v>
      </c>
      <c r="C115" s="266">
        <f t="shared" si="1"/>
        <v>11887914.48</v>
      </c>
      <c r="D115" s="267"/>
      <c r="E115" s="266"/>
      <c r="F115" s="268"/>
    </row>
    <row r="116" spans="1:6" x14ac:dyDescent="0.5">
      <c r="A116" s="59" t="s">
        <v>116</v>
      </c>
      <c r="B116" s="56" t="s">
        <v>127</v>
      </c>
      <c r="C116" s="266">
        <f t="shared" si="1"/>
        <v>81353788.239999995</v>
      </c>
      <c r="D116" s="267"/>
      <c r="E116" s="266"/>
      <c r="F116" s="268"/>
    </row>
    <row r="117" spans="1:6" x14ac:dyDescent="0.5">
      <c r="A117" s="59" t="s">
        <v>129</v>
      </c>
      <c r="B117" s="56" t="s">
        <v>61</v>
      </c>
      <c r="C117" s="266">
        <f>C67+79768-3772-3772-3650-10812</f>
        <v>87516</v>
      </c>
      <c r="D117" s="267"/>
      <c r="E117" s="266"/>
      <c r="F117" s="268"/>
    </row>
    <row r="118" spans="1:6" x14ac:dyDescent="0.5">
      <c r="A118" s="59" t="s">
        <v>130</v>
      </c>
      <c r="B118" s="56" t="s">
        <v>141</v>
      </c>
      <c r="C118" s="266">
        <f t="shared" si="1"/>
        <v>256900</v>
      </c>
      <c r="D118" s="267"/>
      <c r="E118" s="266"/>
      <c r="F118" s="268"/>
    </row>
    <row r="119" spans="1:6" x14ac:dyDescent="0.5">
      <c r="A119" s="59" t="s">
        <v>56</v>
      </c>
      <c r="B119" s="56" t="s">
        <v>60</v>
      </c>
      <c r="C119" s="266">
        <f>C69+476720-761290-16800-20110-300-6210-13100-19500-16800-6890-1131600-151500-1127700-151500-2000-3200-150000</f>
        <v>141940</v>
      </c>
      <c r="D119" s="267"/>
      <c r="E119" s="266"/>
      <c r="F119" s="268"/>
    </row>
    <row r="120" spans="1:6" x14ac:dyDescent="0.5">
      <c r="A120" s="59" t="s">
        <v>131</v>
      </c>
      <c r="B120" s="56" t="s">
        <v>142</v>
      </c>
      <c r="C120" s="266">
        <f>C70-61520</f>
        <v>387687</v>
      </c>
      <c r="D120" s="267"/>
      <c r="E120" s="266"/>
      <c r="F120" s="268"/>
    </row>
    <row r="121" spans="1:6" x14ac:dyDescent="0.5">
      <c r="A121" s="59" t="s">
        <v>132</v>
      </c>
      <c r="B121" s="56" t="s">
        <v>143</v>
      </c>
      <c r="C121" s="266">
        <f t="shared" si="1"/>
        <v>10357.85</v>
      </c>
      <c r="D121" s="267"/>
      <c r="E121" s="266"/>
      <c r="F121" s="268"/>
    </row>
    <row r="122" spans="1:6" x14ac:dyDescent="0.5">
      <c r="A122" s="59" t="s">
        <v>133</v>
      </c>
      <c r="B122" s="56" t="s">
        <v>144</v>
      </c>
      <c r="C122" s="266">
        <f>C72-600</f>
        <v>156696</v>
      </c>
      <c r="D122" s="267"/>
      <c r="E122" s="266"/>
      <c r="F122" s="268"/>
    </row>
    <row r="123" spans="1:6" x14ac:dyDescent="0.5">
      <c r="A123" s="59" t="s">
        <v>12</v>
      </c>
      <c r="B123" s="56" t="s">
        <v>62</v>
      </c>
      <c r="C123" s="266">
        <f>C73+1240272+19500</f>
        <v>1312764</v>
      </c>
      <c r="D123" s="267"/>
      <c r="E123" s="266"/>
      <c r="F123" s="268"/>
    </row>
    <row r="124" spans="1:6" x14ac:dyDescent="0.5">
      <c r="A124" s="59" t="s">
        <v>180</v>
      </c>
      <c r="B124" s="56" t="s">
        <v>181</v>
      </c>
      <c r="C124" s="266">
        <f>1121700+1125800+150000+1126500+2000+3200+150000+151000</f>
        <v>3830200</v>
      </c>
      <c r="D124" s="267"/>
      <c r="E124" s="266"/>
      <c r="F124" s="268"/>
    </row>
    <row r="125" spans="1:6" x14ac:dyDescent="0.5">
      <c r="A125" s="59" t="s">
        <v>4</v>
      </c>
      <c r="B125" s="56" t="s">
        <v>63</v>
      </c>
      <c r="C125" s="266">
        <f>C74+984911+16800+761290+16800+300+6210+13100</f>
        <v>2778113</v>
      </c>
      <c r="D125" s="267"/>
      <c r="E125" s="266"/>
      <c r="F125" s="268"/>
    </row>
    <row r="126" spans="1:6" x14ac:dyDescent="0.5">
      <c r="A126" s="59" t="s">
        <v>5</v>
      </c>
      <c r="B126" s="56" t="s">
        <v>63</v>
      </c>
      <c r="C126" s="266">
        <f>C75+620390+6890+20110</f>
        <v>1912170</v>
      </c>
      <c r="D126" s="267"/>
      <c r="E126" s="266"/>
      <c r="F126" s="268"/>
    </row>
    <row r="127" spans="1:6" x14ac:dyDescent="0.5">
      <c r="A127" s="59" t="s">
        <v>6</v>
      </c>
      <c r="B127" s="56" t="s">
        <v>64</v>
      </c>
      <c r="C127" s="266">
        <f>C76+17600</f>
        <v>40186</v>
      </c>
      <c r="D127" s="267"/>
      <c r="E127" s="266"/>
      <c r="F127" s="268"/>
    </row>
    <row r="128" spans="1:6" x14ac:dyDescent="0.5">
      <c r="A128" s="59" t="s">
        <v>7</v>
      </c>
      <c r="B128" s="56" t="s">
        <v>65</v>
      </c>
      <c r="C128" s="266">
        <f>C77+1792357+3772+3772+3650+10812</f>
        <v>2763434</v>
      </c>
      <c r="D128" s="267"/>
      <c r="E128" s="266"/>
      <c r="F128" s="268"/>
    </row>
    <row r="129" spans="1:6" x14ac:dyDescent="0.5">
      <c r="A129" s="59" t="s">
        <v>292</v>
      </c>
      <c r="B129" s="56" t="s">
        <v>293</v>
      </c>
      <c r="C129" s="266">
        <f>C78</f>
        <v>489780</v>
      </c>
      <c r="D129" s="267"/>
      <c r="E129" s="266"/>
      <c r="F129" s="268"/>
    </row>
    <row r="130" spans="1:6" x14ac:dyDescent="0.5">
      <c r="A130" s="59" t="s">
        <v>8</v>
      </c>
      <c r="B130" s="56" t="s">
        <v>66</v>
      </c>
      <c r="C130" s="266">
        <f>C79+425835</f>
        <v>599769.66</v>
      </c>
      <c r="D130" s="267"/>
      <c r="E130" s="266"/>
      <c r="F130" s="268"/>
    </row>
    <row r="131" spans="1:6" x14ac:dyDescent="0.5">
      <c r="A131" s="59" t="s">
        <v>9</v>
      </c>
      <c r="B131" s="56" t="s">
        <v>67</v>
      </c>
      <c r="C131" s="266">
        <f>C80+145990.76</f>
        <v>286259.28000000003</v>
      </c>
      <c r="D131" s="267"/>
      <c r="E131" s="266"/>
      <c r="F131" s="268"/>
    </row>
    <row r="132" spans="1:6" x14ac:dyDescent="0.5">
      <c r="A132" s="59" t="s">
        <v>10</v>
      </c>
      <c r="B132" s="56" t="s">
        <v>69</v>
      </c>
      <c r="C132" s="266">
        <v>99600</v>
      </c>
      <c r="D132" s="267"/>
      <c r="E132" s="266"/>
      <c r="F132" s="268"/>
    </row>
    <row r="133" spans="1:6" x14ac:dyDescent="0.5">
      <c r="A133" s="59" t="s">
        <v>11</v>
      </c>
      <c r="B133" s="56" t="s">
        <v>70</v>
      </c>
      <c r="C133" s="266">
        <f>C82</f>
        <v>0</v>
      </c>
      <c r="D133" s="267"/>
      <c r="E133" s="266"/>
      <c r="F133" s="268"/>
    </row>
    <row r="134" spans="1:6" x14ac:dyDescent="0.5">
      <c r="A134" s="59" t="s">
        <v>13</v>
      </c>
      <c r="B134" s="56" t="s">
        <v>68</v>
      </c>
      <c r="C134" s="266">
        <v>73000</v>
      </c>
      <c r="D134" s="267"/>
      <c r="E134" s="266"/>
      <c r="F134" s="268"/>
    </row>
    <row r="135" spans="1:6" x14ac:dyDescent="0.5">
      <c r="A135" s="59" t="s">
        <v>14</v>
      </c>
      <c r="B135" s="56" t="s">
        <v>71</v>
      </c>
      <c r="C135" s="266">
        <f t="shared" ref="C135:C143" si="2">C84</f>
        <v>0</v>
      </c>
      <c r="D135" s="267"/>
      <c r="E135" s="266">
        <f>E84+30101218.19+573000+3000</f>
        <v>49536628.140000001</v>
      </c>
      <c r="F135" s="268"/>
    </row>
    <row r="136" spans="1:6" x14ac:dyDescent="0.5">
      <c r="A136" s="59" t="s">
        <v>46</v>
      </c>
      <c r="B136" s="56" t="s">
        <v>74</v>
      </c>
      <c r="C136" s="266">
        <f t="shared" si="2"/>
        <v>0</v>
      </c>
      <c r="D136" s="267"/>
      <c r="E136" s="266">
        <f>'รายละเอียด(หมายเหตุ2)'!F92</f>
        <v>5502989.0099999998</v>
      </c>
      <c r="F136" s="268"/>
    </row>
    <row r="137" spans="1:6" x14ac:dyDescent="0.5">
      <c r="A137" s="59" t="s">
        <v>114</v>
      </c>
      <c r="B137" s="56" t="s">
        <v>145</v>
      </c>
      <c r="C137" s="266">
        <f t="shared" si="2"/>
        <v>0</v>
      </c>
      <c r="D137" s="267"/>
      <c r="E137" s="266">
        <f>E86</f>
        <v>774178</v>
      </c>
      <c r="F137" s="268"/>
    </row>
    <row r="138" spans="1:6" x14ac:dyDescent="0.5">
      <c r="A138" s="59" t="s">
        <v>975</v>
      </c>
      <c r="B138" s="56"/>
      <c r="C138" s="266">
        <f t="shared" si="2"/>
        <v>0</v>
      </c>
      <c r="D138" s="267"/>
      <c r="E138" s="266">
        <f>E87</f>
        <v>2100</v>
      </c>
      <c r="F138" s="268"/>
    </row>
    <row r="139" spans="1:6" x14ac:dyDescent="0.5">
      <c r="A139" s="53" t="s">
        <v>111</v>
      </c>
      <c r="B139" s="54" t="s">
        <v>75</v>
      </c>
      <c r="C139" s="266">
        <f t="shared" si="2"/>
        <v>0</v>
      </c>
      <c r="D139" s="267"/>
      <c r="E139" s="266">
        <f>E88</f>
        <v>185.94999999995343</v>
      </c>
      <c r="F139" s="268"/>
    </row>
    <row r="140" spans="1:6" x14ac:dyDescent="0.5">
      <c r="A140" s="53" t="s">
        <v>92</v>
      </c>
      <c r="B140" s="54" t="s">
        <v>93</v>
      </c>
      <c r="C140" s="266">
        <f t="shared" si="2"/>
        <v>0</v>
      </c>
      <c r="D140" s="267"/>
      <c r="E140" s="266">
        <f>E89</f>
        <v>1200000</v>
      </c>
      <c r="F140" s="268"/>
    </row>
    <row r="141" spans="1:6" x14ac:dyDescent="0.5">
      <c r="A141" s="59" t="s">
        <v>113</v>
      </c>
      <c r="B141" s="56" t="s">
        <v>128</v>
      </c>
      <c r="C141" s="266">
        <f t="shared" si="2"/>
        <v>0</v>
      </c>
      <c r="D141" s="267"/>
      <c r="E141" s="266">
        <f>E90</f>
        <v>64468830.079999998</v>
      </c>
      <c r="F141" s="268"/>
    </row>
    <row r="142" spans="1:6" x14ac:dyDescent="0.5">
      <c r="A142" s="59" t="s">
        <v>15</v>
      </c>
      <c r="B142" s="56" t="s">
        <v>73</v>
      </c>
      <c r="C142" s="266">
        <f t="shared" si="2"/>
        <v>0</v>
      </c>
      <c r="D142" s="267"/>
      <c r="E142" s="266">
        <f>E91+1194.84-494108.68</f>
        <v>42367858.840000011</v>
      </c>
      <c r="F142" s="268"/>
    </row>
    <row r="143" spans="1:6" x14ac:dyDescent="0.5">
      <c r="A143" s="59" t="s">
        <v>54</v>
      </c>
      <c r="B143" s="56" t="s">
        <v>72</v>
      </c>
      <c r="C143" s="266">
        <f t="shared" si="2"/>
        <v>0</v>
      </c>
      <c r="D143" s="267"/>
      <c r="E143" s="266">
        <f>E92</f>
        <v>32433380.260000002</v>
      </c>
      <c r="F143" s="268"/>
    </row>
    <row r="144" spans="1:6" ht="24.75" thickBot="1" x14ac:dyDescent="0.55000000000000004">
      <c r="A144" s="60" t="s">
        <v>45</v>
      </c>
      <c r="B144" s="61"/>
      <c r="C144" s="269">
        <f>SUM(C104:C143)</f>
        <v>196286150.28</v>
      </c>
      <c r="D144" s="270"/>
      <c r="E144" s="269">
        <f>SUM(E104:E143)</f>
        <v>196286150.28</v>
      </c>
      <c r="F144" s="271"/>
    </row>
    <row r="145" spans="1:6" x14ac:dyDescent="0.5">
      <c r="A145" s="272"/>
      <c r="B145" s="272"/>
      <c r="C145" s="272"/>
      <c r="D145" s="57"/>
      <c r="E145" s="58"/>
      <c r="F145" s="58"/>
    </row>
    <row r="146" spans="1:6" ht="26.25" x14ac:dyDescent="0.55000000000000004">
      <c r="A146" s="66" t="s">
        <v>169</v>
      </c>
      <c r="B146" s="66"/>
      <c r="C146" s="263" t="s">
        <v>118</v>
      </c>
      <c r="D146" s="263"/>
      <c r="E146" s="263"/>
      <c r="F146" s="263"/>
    </row>
    <row r="147" spans="1:6" ht="26.25" x14ac:dyDescent="0.55000000000000004">
      <c r="A147" s="66" t="s">
        <v>170</v>
      </c>
      <c r="B147" s="66"/>
      <c r="C147" s="264" t="s">
        <v>991</v>
      </c>
      <c r="D147" s="264"/>
      <c r="E147" s="264"/>
      <c r="F147" s="264"/>
    </row>
    <row r="148" spans="1:6" ht="26.25" x14ac:dyDescent="0.55000000000000004">
      <c r="A148" s="67" t="s">
        <v>148</v>
      </c>
      <c r="B148" s="68"/>
      <c r="C148" s="265" t="s">
        <v>978</v>
      </c>
      <c r="D148" s="265"/>
      <c r="E148" s="265"/>
      <c r="F148" s="265"/>
    </row>
    <row r="149" spans="1:6" x14ac:dyDescent="0.5">
      <c r="A149" s="275" t="s">
        <v>95</v>
      </c>
      <c r="B149" s="275"/>
      <c r="C149" s="275"/>
      <c r="D149" s="275"/>
      <c r="E149" s="275"/>
      <c r="F149" s="275"/>
    </row>
    <row r="150" spans="1:6" x14ac:dyDescent="0.5">
      <c r="A150" s="275" t="s">
        <v>171</v>
      </c>
      <c r="B150" s="275"/>
      <c r="C150" s="275"/>
      <c r="D150" s="275"/>
      <c r="E150" s="275"/>
      <c r="F150" s="275"/>
    </row>
    <row r="151" spans="1:6" ht="24.75" thickBot="1" x14ac:dyDescent="0.55000000000000004">
      <c r="A151" s="276" t="s">
        <v>997</v>
      </c>
      <c r="B151" s="276"/>
      <c r="C151" s="276"/>
      <c r="D151" s="276"/>
      <c r="E151" s="276"/>
      <c r="F151" s="276"/>
    </row>
    <row r="152" spans="1:6" x14ac:dyDescent="0.5">
      <c r="A152" s="277" t="s">
        <v>76</v>
      </c>
      <c r="B152" s="279" t="s">
        <v>1</v>
      </c>
      <c r="C152" s="279" t="s">
        <v>2</v>
      </c>
      <c r="D152" s="279"/>
      <c r="E152" s="279" t="s">
        <v>3</v>
      </c>
      <c r="F152" s="281"/>
    </row>
    <row r="153" spans="1:6" ht="24.75" thickBot="1" x14ac:dyDescent="0.55000000000000004">
      <c r="A153" s="278"/>
      <c r="B153" s="280"/>
      <c r="C153" s="280"/>
      <c r="D153" s="280"/>
      <c r="E153" s="280"/>
      <c r="F153" s="282"/>
    </row>
    <row r="154" spans="1:6" ht="24.75" thickTop="1" x14ac:dyDescent="0.5">
      <c r="A154" s="59" t="s">
        <v>59</v>
      </c>
      <c r="B154" s="56"/>
      <c r="C154" s="266"/>
      <c r="D154" s="267"/>
      <c r="E154" s="266"/>
      <c r="F154" s="268"/>
    </row>
    <row r="155" spans="1:6" x14ac:dyDescent="0.5">
      <c r="A155" s="59" t="s">
        <v>107</v>
      </c>
      <c r="B155" s="56" t="s">
        <v>88</v>
      </c>
      <c r="C155" s="266">
        <f>C105+55473.23-2072538+1576180.56+877443+755780</f>
        <v>6894123.8300000001</v>
      </c>
      <c r="D155" s="267"/>
      <c r="E155" s="266"/>
      <c r="F155" s="268"/>
    </row>
    <row r="156" spans="1:6" x14ac:dyDescent="0.5">
      <c r="A156" s="59" t="s">
        <v>119</v>
      </c>
      <c r="B156" s="56" t="s">
        <v>91</v>
      </c>
      <c r="C156" s="266">
        <f>C106+3103863.56-877443-1576180.56-755780</f>
        <v>45000</v>
      </c>
      <c r="D156" s="267"/>
      <c r="E156" s="266"/>
      <c r="F156" s="268"/>
    </row>
    <row r="157" spans="1:6" x14ac:dyDescent="0.5">
      <c r="A157" s="59" t="s">
        <v>167</v>
      </c>
      <c r="B157" s="56" t="s">
        <v>88</v>
      </c>
      <c r="C157" s="266">
        <f>C107+94905.21</f>
        <v>5264819.04</v>
      </c>
      <c r="D157" s="267"/>
      <c r="E157" s="266"/>
      <c r="F157" s="268"/>
    </row>
    <row r="158" spans="1:6" x14ac:dyDescent="0.5">
      <c r="A158" s="59" t="s">
        <v>168</v>
      </c>
      <c r="B158" s="56" t="s">
        <v>91</v>
      </c>
      <c r="C158" s="266">
        <f t="shared" ref="C158:C179" si="3">C108</f>
        <v>0</v>
      </c>
      <c r="D158" s="267"/>
      <c r="E158" s="266"/>
      <c r="F158" s="268"/>
    </row>
    <row r="159" spans="1:6" x14ac:dyDescent="0.5">
      <c r="A159" s="59" t="s">
        <v>108</v>
      </c>
      <c r="B159" s="56" t="s">
        <v>88</v>
      </c>
      <c r="C159" s="266">
        <f>C109+467997.11-10278845.34</f>
        <v>21449407.540000003</v>
      </c>
      <c r="D159" s="267"/>
      <c r="E159" s="266"/>
      <c r="F159" s="268"/>
    </row>
    <row r="160" spans="1:6" x14ac:dyDescent="0.5">
      <c r="A160" s="59" t="s">
        <v>109</v>
      </c>
      <c r="B160" s="56" t="s">
        <v>88</v>
      </c>
      <c r="C160" s="266">
        <f t="shared" si="3"/>
        <v>3343273.52</v>
      </c>
      <c r="D160" s="267"/>
      <c r="E160" s="266"/>
      <c r="F160" s="268"/>
    </row>
    <row r="161" spans="1:6" x14ac:dyDescent="0.5">
      <c r="A161" s="59" t="s">
        <v>364</v>
      </c>
      <c r="B161" s="56" t="s">
        <v>88</v>
      </c>
      <c r="C161" s="266">
        <f t="shared" si="3"/>
        <v>1712961.47</v>
      </c>
      <c r="D161" s="267"/>
      <c r="E161" s="266"/>
      <c r="F161" s="268"/>
    </row>
    <row r="162" spans="1:6" x14ac:dyDescent="0.5">
      <c r="A162" s="59" t="s">
        <v>110</v>
      </c>
      <c r="B162" s="56" t="s">
        <v>89</v>
      </c>
      <c r="C162" s="266">
        <f t="shared" si="3"/>
        <v>35151610.010000005</v>
      </c>
      <c r="D162" s="267"/>
      <c r="E162" s="266"/>
      <c r="F162" s="268"/>
    </row>
    <row r="163" spans="1:6" x14ac:dyDescent="0.5">
      <c r="A163" s="59" t="s">
        <v>154</v>
      </c>
      <c r="B163" s="56" t="s">
        <v>89</v>
      </c>
      <c r="C163" s="266">
        <f>C113+18830.73</f>
        <v>5101065.8600000003</v>
      </c>
      <c r="D163" s="267"/>
      <c r="E163" s="266"/>
      <c r="F163" s="268"/>
    </row>
    <row r="164" spans="1:6" x14ac:dyDescent="0.5">
      <c r="A164" s="53" t="s">
        <v>115</v>
      </c>
      <c r="B164" s="54" t="s">
        <v>140</v>
      </c>
      <c r="C164" s="266">
        <f>C114-41500</f>
        <v>204000</v>
      </c>
      <c r="D164" s="267"/>
      <c r="E164" s="273"/>
      <c r="F164" s="274"/>
    </row>
    <row r="165" spans="1:6" x14ac:dyDescent="0.5">
      <c r="A165" s="59" t="s">
        <v>112</v>
      </c>
      <c r="B165" s="56" t="s">
        <v>126</v>
      </c>
      <c r="C165" s="266">
        <f t="shared" si="3"/>
        <v>11887914.48</v>
      </c>
      <c r="D165" s="267"/>
      <c r="E165" s="266"/>
      <c r="F165" s="268"/>
    </row>
    <row r="166" spans="1:6" x14ac:dyDescent="0.5">
      <c r="A166" s="59" t="s">
        <v>116</v>
      </c>
      <c r="B166" s="56" t="s">
        <v>127</v>
      </c>
      <c r="C166" s="266">
        <f t="shared" si="3"/>
        <v>81353788.239999995</v>
      </c>
      <c r="D166" s="267"/>
      <c r="E166" s="266"/>
      <c r="F166" s="268"/>
    </row>
    <row r="167" spans="1:6" x14ac:dyDescent="0.5">
      <c r="A167" s="59" t="s">
        <v>129</v>
      </c>
      <c r="B167" s="56" t="s">
        <v>61</v>
      </c>
      <c r="C167" s="266">
        <f>C117+115892-60000-3550-5406-60000-6000-3560-24240</f>
        <v>40652</v>
      </c>
      <c r="D167" s="267"/>
      <c r="E167" s="266"/>
      <c r="F167" s="268"/>
    </row>
    <row r="168" spans="1:6" x14ac:dyDescent="0.5">
      <c r="A168" s="59" t="s">
        <v>130</v>
      </c>
      <c r="B168" s="56" t="s">
        <v>141</v>
      </c>
      <c r="C168" s="266">
        <f t="shared" si="3"/>
        <v>256900</v>
      </c>
      <c r="D168" s="267"/>
      <c r="E168" s="266"/>
      <c r="F168" s="268"/>
    </row>
    <row r="169" spans="1:6" x14ac:dyDescent="0.5">
      <c r="A169" s="59" t="s">
        <v>56</v>
      </c>
      <c r="B169" s="56" t="s">
        <v>60</v>
      </c>
      <c r="C169" s="266">
        <f>C119+62220-41500</f>
        <v>162660</v>
      </c>
      <c r="D169" s="267"/>
      <c r="E169" s="266"/>
      <c r="F169" s="268"/>
    </row>
    <row r="170" spans="1:6" x14ac:dyDescent="0.5">
      <c r="A170" s="59" t="s">
        <v>131</v>
      </c>
      <c r="B170" s="56" t="s">
        <v>142</v>
      </c>
      <c r="C170" s="266">
        <f>C120-500</f>
        <v>387187</v>
      </c>
      <c r="D170" s="267"/>
      <c r="E170" s="266"/>
      <c r="F170" s="268"/>
    </row>
    <row r="171" spans="1:6" x14ac:dyDescent="0.5">
      <c r="A171" s="59" t="s">
        <v>132</v>
      </c>
      <c r="B171" s="56" t="s">
        <v>143</v>
      </c>
      <c r="C171" s="266">
        <f>C121-175.75</f>
        <v>10182.1</v>
      </c>
      <c r="D171" s="267"/>
      <c r="E171" s="266"/>
      <c r="F171" s="268"/>
    </row>
    <row r="172" spans="1:6" x14ac:dyDescent="0.5">
      <c r="A172" s="59" t="s">
        <v>133</v>
      </c>
      <c r="B172" s="56" t="s">
        <v>144</v>
      </c>
      <c r="C172" s="266">
        <f>C122-800</f>
        <v>155896</v>
      </c>
      <c r="D172" s="267"/>
      <c r="E172" s="266"/>
      <c r="F172" s="268"/>
    </row>
    <row r="173" spans="1:6" x14ac:dyDescent="0.5">
      <c r="A173" s="59" t="s">
        <v>12</v>
      </c>
      <c r="B173" s="56" t="s">
        <v>62</v>
      </c>
      <c r="C173" s="266">
        <f>C123+106572+60000+60000</f>
        <v>1539336</v>
      </c>
      <c r="D173" s="267"/>
      <c r="E173" s="266"/>
      <c r="F173" s="268"/>
    </row>
    <row r="174" spans="1:6" x14ac:dyDescent="0.5">
      <c r="A174" s="59" t="s">
        <v>180</v>
      </c>
      <c r="B174" s="56" t="s">
        <v>181</v>
      </c>
      <c r="C174" s="266">
        <f>C124+1237100</f>
        <v>5067300</v>
      </c>
      <c r="D174" s="267"/>
      <c r="E174" s="266"/>
      <c r="F174" s="268"/>
    </row>
    <row r="175" spans="1:6" x14ac:dyDescent="0.5">
      <c r="A175" s="59" t="s">
        <v>4</v>
      </c>
      <c r="B175" s="56" t="s">
        <v>63</v>
      </c>
      <c r="C175" s="266">
        <f>C125+1079383</f>
        <v>3857496</v>
      </c>
      <c r="D175" s="267"/>
      <c r="E175" s="266"/>
      <c r="F175" s="268"/>
    </row>
    <row r="176" spans="1:6" x14ac:dyDescent="0.5">
      <c r="A176" s="59" t="s">
        <v>5</v>
      </c>
      <c r="B176" s="56" t="s">
        <v>63</v>
      </c>
      <c r="C176" s="266">
        <f>C126+629390</f>
        <v>2541560</v>
      </c>
      <c r="D176" s="267"/>
      <c r="E176" s="266"/>
      <c r="F176" s="268"/>
    </row>
    <row r="177" spans="1:6" x14ac:dyDescent="0.5">
      <c r="A177" s="59" t="s">
        <v>6</v>
      </c>
      <c r="B177" s="56" t="s">
        <v>64</v>
      </c>
      <c r="C177" s="266">
        <f>C127+19000</f>
        <v>59186</v>
      </c>
      <c r="D177" s="267"/>
      <c r="E177" s="266"/>
      <c r="F177" s="268"/>
    </row>
    <row r="178" spans="1:6" x14ac:dyDescent="0.5">
      <c r="A178" s="59" t="s">
        <v>7</v>
      </c>
      <c r="B178" s="56" t="s">
        <v>65</v>
      </c>
      <c r="C178" s="266">
        <f>C128+3318930+24240+3560+6000+5406+3550</f>
        <v>6125120</v>
      </c>
      <c r="D178" s="267"/>
      <c r="E178" s="266"/>
      <c r="F178" s="268"/>
    </row>
    <row r="179" spans="1:6" x14ac:dyDescent="0.5">
      <c r="A179" s="59" t="s">
        <v>292</v>
      </c>
      <c r="B179" s="56" t="s">
        <v>293</v>
      </c>
      <c r="C179" s="266">
        <f t="shared" si="3"/>
        <v>489780</v>
      </c>
      <c r="D179" s="267"/>
      <c r="E179" s="266"/>
      <c r="F179" s="268"/>
    </row>
    <row r="180" spans="1:6" x14ac:dyDescent="0.5">
      <c r="A180" s="59" t="s">
        <v>8</v>
      </c>
      <c r="B180" s="56" t="s">
        <v>66</v>
      </c>
      <c r="C180" s="266">
        <f>C130+663177</f>
        <v>1262946.6600000001</v>
      </c>
      <c r="D180" s="267"/>
      <c r="E180" s="266"/>
      <c r="F180" s="268"/>
    </row>
    <row r="181" spans="1:6" x14ac:dyDescent="0.5">
      <c r="A181" s="59" t="s">
        <v>9</v>
      </c>
      <c r="B181" s="56" t="s">
        <v>67</v>
      </c>
      <c r="C181" s="266">
        <f>C131+133484.68</f>
        <v>419743.96</v>
      </c>
      <c r="D181" s="267"/>
      <c r="E181" s="266"/>
      <c r="F181" s="268"/>
    </row>
    <row r="182" spans="1:6" x14ac:dyDescent="0.5">
      <c r="A182" s="59" t="s">
        <v>10</v>
      </c>
      <c r="B182" s="56" t="s">
        <v>69</v>
      </c>
      <c r="C182" s="266">
        <f>C132+2578000</f>
        <v>2677600</v>
      </c>
      <c r="D182" s="267"/>
      <c r="E182" s="266"/>
      <c r="F182" s="268"/>
    </row>
    <row r="183" spans="1:6" x14ac:dyDescent="0.5">
      <c r="A183" s="59" t="s">
        <v>11</v>
      </c>
      <c r="B183" s="56" t="s">
        <v>70</v>
      </c>
      <c r="C183" s="266">
        <v>490800</v>
      </c>
      <c r="D183" s="267"/>
      <c r="E183" s="266"/>
      <c r="F183" s="268"/>
    </row>
    <row r="184" spans="1:6" x14ac:dyDescent="0.5">
      <c r="A184" s="59" t="s">
        <v>13</v>
      </c>
      <c r="B184" s="56" t="s">
        <v>68</v>
      </c>
      <c r="C184" s="266">
        <f>C134+1229536.7</f>
        <v>1302536.7</v>
      </c>
      <c r="D184" s="267"/>
      <c r="E184" s="266"/>
      <c r="F184" s="268"/>
    </row>
    <row r="185" spans="1:6" x14ac:dyDescent="0.5">
      <c r="A185" s="59" t="s">
        <v>14</v>
      </c>
      <c r="B185" s="56" t="s">
        <v>71</v>
      </c>
      <c r="C185" s="266">
        <f t="shared" ref="C185:C190" si="4">C135</f>
        <v>0</v>
      </c>
      <c r="D185" s="267"/>
      <c r="E185" s="266">
        <f>E135+3540411.49+3500-266400-24.3</f>
        <v>52814115.330000006</v>
      </c>
      <c r="F185" s="268"/>
    </row>
    <row r="186" spans="1:6" x14ac:dyDescent="0.5">
      <c r="A186" s="59" t="s">
        <v>46</v>
      </c>
      <c r="B186" s="56" t="s">
        <v>74</v>
      </c>
      <c r="C186" s="266">
        <f t="shared" si="4"/>
        <v>0</v>
      </c>
      <c r="D186" s="267"/>
      <c r="E186" s="266">
        <f>'รายละเอียด(หมายเหตุ2)'!F131</f>
        <v>5710429.8100000005</v>
      </c>
      <c r="F186" s="268"/>
    </row>
    <row r="187" spans="1:6" x14ac:dyDescent="0.5">
      <c r="A187" s="59" t="s">
        <v>114</v>
      </c>
      <c r="B187" s="56" t="s">
        <v>145</v>
      </c>
      <c r="C187" s="266">
        <f t="shared" si="4"/>
        <v>0</v>
      </c>
      <c r="D187" s="267"/>
      <c r="E187" s="266">
        <f>E137-474740-41500</f>
        <v>257938</v>
      </c>
      <c r="F187" s="268"/>
    </row>
    <row r="188" spans="1:6" x14ac:dyDescent="0.5">
      <c r="A188" s="59" t="s">
        <v>975</v>
      </c>
      <c r="B188" s="56"/>
      <c r="C188" s="266">
        <f t="shared" si="4"/>
        <v>0</v>
      </c>
      <c r="D188" s="267"/>
      <c r="E188" s="266">
        <f t="shared" ref="E188:E190" si="5">E138</f>
        <v>2100</v>
      </c>
      <c r="F188" s="268"/>
    </row>
    <row r="189" spans="1:6" x14ac:dyDescent="0.5">
      <c r="A189" s="53" t="s">
        <v>111</v>
      </c>
      <c r="B189" s="54" t="s">
        <v>75</v>
      </c>
      <c r="C189" s="266">
        <f t="shared" si="4"/>
        <v>0</v>
      </c>
      <c r="D189" s="267"/>
      <c r="E189" s="266">
        <f t="shared" si="5"/>
        <v>185.94999999995343</v>
      </c>
      <c r="F189" s="268"/>
    </row>
    <row r="190" spans="1:6" x14ac:dyDescent="0.5">
      <c r="A190" s="53" t="s">
        <v>92</v>
      </c>
      <c r="B190" s="54" t="s">
        <v>93</v>
      </c>
      <c r="C190" s="266">
        <f t="shared" si="4"/>
        <v>0</v>
      </c>
      <c r="D190" s="267"/>
      <c r="E190" s="266">
        <f t="shared" si="5"/>
        <v>1200000</v>
      </c>
      <c r="F190" s="268"/>
    </row>
    <row r="191" spans="1:6" x14ac:dyDescent="0.5">
      <c r="A191" s="53" t="s">
        <v>999</v>
      </c>
      <c r="B191" s="54" t="s">
        <v>1000</v>
      </c>
      <c r="C191" s="266"/>
      <c r="D191" s="267"/>
      <c r="E191" s="266">
        <v>8.14</v>
      </c>
      <c r="F191" s="268"/>
    </row>
    <row r="192" spans="1:6" x14ac:dyDescent="0.5">
      <c r="A192" s="59" t="s">
        <v>113</v>
      </c>
      <c r="B192" s="56" t="s">
        <v>128</v>
      </c>
      <c r="C192" s="266">
        <f>C141</f>
        <v>0</v>
      </c>
      <c r="D192" s="267"/>
      <c r="E192" s="266">
        <f>E141</f>
        <v>64468830.079999998</v>
      </c>
      <c r="F192" s="268"/>
    </row>
    <row r="193" spans="1:6" x14ac:dyDescent="0.5">
      <c r="A193" s="59" t="s">
        <v>15</v>
      </c>
      <c r="B193" s="56" t="s">
        <v>73</v>
      </c>
      <c r="C193" s="266">
        <f>C142</f>
        <v>0</v>
      </c>
      <c r="D193" s="267"/>
      <c r="E193" s="266">
        <f>E142</f>
        <v>42367858.840000011</v>
      </c>
      <c r="F193" s="268"/>
    </row>
    <row r="194" spans="1:6" x14ac:dyDescent="0.5">
      <c r="A194" s="59" t="s">
        <v>54</v>
      </c>
      <c r="B194" s="56" t="s">
        <v>72</v>
      </c>
      <c r="C194" s="266">
        <f>C143</f>
        <v>0</v>
      </c>
      <c r="D194" s="267"/>
      <c r="E194" s="266">
        <f>E143</f>
        <v>32433380.260000002</v>
      </c>
      <c r="F194" s="268"/>
    </row>
    <row r="195" spans="1:6" ht="24.75" thickBot="1" x14ac:dyDescent="0.55000000000000004">
      <c r="A195" s="60" t="s">
        <v>45</v>
      </c>
      <c r="B195" s="61"/>
      <c r="C195" s="269">
        <f>SUM(C154:C194)</f>
        <v>199254846.41</v>
      </c>
      <c r="D195" s="270"/>
      <c r="E195" s="269">
        <f>SUM(E154:E194)</f>
        <v>199254846.41</v>
      </c>
      <c r="F195" s="271"/>
    </row>
    <row r="196" spans="1:6" x14ac:dyDescent="0.5">
      <c r="A196" s="272"/>
      <c r="B196" s="272"/>
      <c r="C196" s="272"/>
      <c r="D196" s="57"/>
      <c r="E196" s="58"/>
      <c r="F196" s="58"/>
    </row>
    <row r="197" spans="1:6" ht="26.25" x14ac:dyDescent="0.55000000000000004">
      <c r="A197" s="66" t="s">
        <v>169</v>
      </c>
      <c r="B197" s="66"/>
      <c r="C197" s="263" t="s">
        <v>118</v>
      </c>
      <c r="D197" s="263"/>
      <c r="E197" s="263"/>
      <c r="F197" s="263"/>
    </row>
    <row r="198" spans="1:6" ht="26.25" x14ac:dyDescent="0.55000000000000004">
      <c r="A198" s="66" t="s">
        <v>170</v>
      </c>
      <c r="B198" s="66"/>
      <c r="C198" s="264" t="s">
        <v>991</v>
      </c>
      <c r="D198" s="264"/>
      <c r="E198" s="264"/>
      <c r="F198" s="264"/>
    </row>
    <row r="199" spans="1:6" ht="26.25" x14ac:dyDescent="0.55000000000000004">
      <c r="A199" s="67" t="s">
        <v>148</v>
      </c>
      <c r="B199" s="68"/>
      <c r="C199" s="265" t="s">
        <v>978</v>
      </c>
      <c r="D199" s="265"/>
      <c r="E199" s="265"/>
      <c r="F199" s="265"/>
    </row>
    <row r="200" spans="1:6" x14ac:dyDescent="0.5">
      <c r="A200" s="275" t="s">
        <v>95</v>
      </c>
      <c r="B200" s="275"/>
      <c r="C200" s="275"/>
      <c r="D200" s="275"/>
      <c r="E200" s="275"/>
      <c r="F200" s="275"/>
    </row>
    <row r="201" spans="1:6" x14ac:dyDescent="0.5">
      <c r="A201" s="275" t="s">
        <v>171</v>
      </c>
      <c r="B201" s="275"/>
      <c r="C201" s="275"/>
      <c r="D201" s="275"/>
      <c r="E201" s="275"/>
      <c r="F201" s="275"/>
    </row>
    <row r="202" spans="1:6" ht="24.75" thickBot="1" x14ac:dyDescent="0.55000000000000004">
      <c r="A202" s="276" t="s">
        <v>1016</v>
      </c>
      <c r="B202" s="276"/>
      <c r="C202" s="276"/>
      <c r="D202" s="276"/>
      <c r="E202" s="276"/>
      <c r="F202" s="276"/>
    </row>
    <row r="203" spans="1:6" x14ac:dyDescent="0.5">
      <c r="A203" s="277" t="s">
        <v>76</v>
      </c>
      <c r="B203" s="279" t="s">
        <v>1</v>
      </c>
      <c r="C203" s="279" t="s">
        <v>2</v>
      </c>
      <c r="D203" s="279"/>
      <c r="E203" s="279" t="s">
        <v>3</v>
      </c>
      <c r="F203" s="281"/>
    </row>
    <row r="204" spans="1:6" ht="24.75" thickBot="1" x14ac:dyDescent="0.55000000000000004">
      <c r="A204" s="278"/>
      <c r="B204" s="280"/>
      <c r="C204" s="280"/>
      <c r="D204" s="280"/>
      <c r="E204" s="280"/>
      <c r="F204" s="282"/>
    </row>
    <row r="205" spans="1:6" ht="24.75" thickTop="1" x14ac:dyDescent="0.5">
      <c r="A205" s="59" t="s">
        <v>59</v>
      </c>
      <c r="B205" s="56"/>
      <c r="C205" s="266"/>
      <c r="D205" s="267"/>
      <c r="E205" s="266"/>
      <c r="F205" s="268"/>
    </row>
    <row r="206" spans="1:6" x14ac:dyDescent="0.5">
      <c r="A206" s="59" t="s">
        <v>107</v>
      </c>
      <c r="B206" s="56" t="s">
        <v>88</v>
      </c>
      <c r="C206" s="266">
        <f>C155+86110.75-2196005.75+226731+2058032.61+7234222.47-4500</f>
        <v>14298714.91</v>
      </c>
      <c r="D206" s="267"/>
      <c r="E206" s="266"/>
      <c r="F206" s="268"/>
    </row>
    <row r="207" spans="1:6" x14ac:dyDescent="0.5">
      <c r="A207" s="59" t="s">
        <v>119</v>
      </c>
      <c r="B207" s="56" t="s">
        <v>91</v>
      </c>
      <c r="C207" s="266">
        <f>C156+10220696.08-226731-2058032.61-7234222.47</f>
        <v>746710</v>
      </c>
      <c r="D207" s="267"/>
      <c r="E207" s="266"/>
      <c r="F207" s="268"/>
    </row>
    <row r="208" spans="1:6" x14ac:dyDescent="0.5">
      <c r="A208" s="59" t="s">
        <v>167</v>
      </c>
      <c r="B208" s="56" t="s">
        <v>88</v>
      </c>
      <c r="C208" s="266">
        <f>C157+352383.57</f>
        <v>5617202.6100000003</v>
      </c>
      <c r="D208" s="267"/>
      <c r="E208" s="266"/>
      <c r="F208" s="268"/>
    </row>
    <row r="209" spans="1:6" x14ac:dyDescent="0.5">
      <c r="A209" s="59" t="s">
        <v>168</v>
      </c>
      <c r="B209" s="56" t="s">
        <v>91</v>
      </c>
      <c r="C209" s="266">
        <f t="shared" ref="C209:C221" si="6">C158</f>
        <v>0</v>
      </c>
      <c r="D209" s="267"/>
      <c r="E209" s="266"/>
      <c r="F209" s="268"/>
    </row>
    <row r="210" spans="1:6" x14ac:dyDescent="0.5">
      <c r="A210" s="59" t="s">
        <v>108</v>
      </c>
      <c r="B210" s="56" t="s">
        <v>88</v>
      </c>
      <c r="C210" s="266">
        <f>C159+472997.09-4215858.06+4500</f>
        <v>17711046.570000004</v>
      </c>
      <c r="D210" s="267"/>
      <c r="E210" s="266"/>
      <c r="F210" s="268"/>
    </row>
    <row r="211" spans="1:6" x14ac:dyDescent="0.5">
      <c r="A211" s="59" t="s">
        <v>109</v>
      </c>
      <c r="B211" s="56" t="s">
        <v>88</v>
      </c>
      <c r="C211" s="266">
        <f>C160-260000</f>
        <v>3083273.52</v>
      </c>
      <c r="D211" s="267"/>
      <c r="E211" s="266"/>
      <c r="F211" s="268"/>
    </row>
    <row r="212" spans="1:6" x14ac:dyDescent="0.5">
      <c r="A212" s="59" t="s">
        <v>364</v>
      </c>
      <c r="B212" s="56" t="s">
        <v>88</v>
      </c>
      <c r="C212" s="266">
        <f t="shared" si="6"/>
        <v>1712961.47</v>
      </c>
      <c r="D212" s="267"/>
      <c r="E212" s="266"/>
      <c r="F212" s="268"/>
    </row>
    <row r="213" spans="1:6" x14ac:dyDescent="0.5">
      <c r="A213" s="59" t="s">
        <v>110</v>
      </c>
      <c r="B213" s="56" t="s">
        <v>89</v>
      </c>
      <c r="C213" s="266">
        <f t="shared" si="6"/>
        <v>35151610.010000005</v>
      </c>
      <c r="D213" s="267"/>
      <c r="E213" s="266"/>
      <c r="F213" s="268"/>
    </row>
    <row r="214" spans="1:6" x14ac:dyDescent="0.5">
      <c r="A214" s="59" t="s">
        <v>154</v>
      </c>
      <c r="B214" s="56" t="s">
        <v>89</v>
      </c>
      <c r="C214" s="266">
        <f t="shared" si="6"/>
        <v>5101065.8600000003</v>
      </c>
      <c r="D214" s="267"/>
      <c r="E214" s="266"/>
      <c r="F214" s="268"/>
    </row>
    <row r="215" spans="1:6" x14ac:dyDescent="0.5">
      <c r="A215" s="53" t="s">
        <v>115</v>
      </c>
      <c r="B215" s="54" t="s">
        <v>140</v>
      </c>
      <c r="C215" s="266">
        <f t="shared" si="6"/>
        <v>204000</v>
      </c>
      <c r="D215" s="267"/>
      <c r="E215" s="273"/>
      <c r="F215" s="274"/>
    </row>
    <row r="216" spans="1:6" x14ac:dyDescent="0.5">
      <c r="A216" s="59" t="s">
        <v>112</v>
      </c>
      <c r="B216" s="56" t="s">
        <v>126</v>
      </c>
      <c r="C216" s="266">
        <f t="shared" si="6"/>
        <v>11887914.48</v>
      </c>
      <c r="D216" s="267"/>
      <c r="E216" s="266"/>
      <c r="F216" s="268"/>
    </row>
    <row r="217" spans="1:6" x14ac:dyDescent="0.5">
      <c r="A217" s="59" t="s">
        <v>116</v>
      </c>
      <c r="B217" s="56" t="s">
        <v>127</v>
      </c>
      <c r="C217" s="266">
        <f t="shared" si="6"/>
        <v>81353788.239999995</v>
      </c>
      <c r="D217" s="267"/>
      <c r="E217" s="266"/>
      <c r="F217" s="268"/>
    </row>
    <row r="218" spans="1:6" x14ac:dyDescent="0.5">
      <c r="A218" s="59" t="s">
        <v>129</v>
      </c>
      <c r="B218" s="56" t="s">
        <v>61</v>
      </c>
      <c r="C218" s="266">
        <f>C167+11667-1215-7000-4046-7000-4046-3006-18560</f>
        <v>7446</v>
      </c>
      <c r="D218" s="267"/>
      <c r="E218" s="266"/>
      <c r="F218" s="268"/>
    </row>
    <row r="219" spans="1:6" x14ac:dyDescent="0.5">
      <c r="A219" s="59" t="s">
        <v>130</v>
      </c>
      <c r="B219" s="56" t="s">
        <v>141</v>
      </c>
      <c r="C219" s="266">
        <f t="shared" si="6"/>
        <v>256900</v>
      </c>
      <c r="D219" s="267"/>
      <c r="E219" s="266"/>
      <c r="F219" s="268"/>
    </row>
    <row r="220" spans="1:6" x14ac:dyDescent="0.5">
      <c r="A220" s="59" t="s">
        <v>56</v>
      </c>
      <c r="B220" s="56" t="s">
        <v>60</v>
      </c>
      <c r="C220" s="266">
        <f>C169+227850+1215-33000-720-33000-720-720-33000-900-33000-33000</f>
        <v>223665</v>
      </c>
      <c r="D220" s="267"/>
      <c r="E220" s="266"/>
      <c r="F220" s="268"/>
    </row>
    <row r="221" spans="1:6" x14ac:dyDescent="0.5">
      <c r="A221" s="59" t="s">
        <v>131</v>
      </c>
      <c r="B221" s="56" t="s">
        <v>142</v>
      </c>
      <c r="C221" s="266">
        <f t="shared" si="6"/>
        <v>387187</v>
      </c>
      <c r="D221" s="267"/>
      <c r="E221" s="266"/>
      <c r="F221" s="268"/>
    </row>
    <row r="222" spans="1:6" x14ac:dyDescent="0.5">
      <c r="A222" s="59" t="s">
        <v>132</v>
      </c>
      <c r="B222" s="56" t="s">
        <v>143</v>
      </c>
      <c r="C222" s="266">
        <f>C171-143.45</f>
        <v>10038.65</v>
      </c>
      <c r="D222" s="267"/>
      <c r="E222" s="266"/>
      <c r="F222" s="268"/>
    </row>
    <row r="223" spans="1:6" x14ac:dyDescent="0.5">
      <c r="A223" s="59" t="s">
        <v>133</v>
      </c>
      <c r="B223" s="56" t="s">
        <v>144</v>
      </c>
      <c r="C223" s="266">
        <f>C172-200</f>
        <v>155696</v>
      </c>
      <c r="D223" s="267"/>
      <c r="E223" s="266"/>
      <c r="F223" s="268"/>
    </row>
    <row r="224" spans="1:6" x14ac:dyDescent="0.5">
      <c r="A224" s="59" t="s">
        <v>12</v>
      </c>
      <c r="B224" s="56" t="s">
        <v>62</v>
      </c>
      <c r="C224" s="266">
        <f>C173+38870</f>
        <v>1578206</v>
      </c>
      <c r="D224" s="267"/>
      <c r="E224" s="266"/>
      <c r="F224" s="268"/>
    </row>
    <row r="225" spans="1:6" x14ac:dyDescent="0.5">
      <c r="A225" s="59" t="s">
        <v>180</v>
      </c>
      <c r="B225" s="56" t="s">
        <v>181</v>
      </c>
      <c r="C225" s="266">
        <f>C174+1113200+720+720+720+900</f>
        <v>6183560</v>
      </c>
      <c r="D225" s="267"/>
      <c r="E225" s="266"/>
      <c r="F225" s="268"/>
    </row>
    <row r="226" spans="1:6" x14ac:dyDescent="0.5">
      <c r="A226" s="59" t="s">
        <v>4</v>
      </c>
      <c r="B226" s="56" t="s">
        <v>63</v>
      </c>
      <c r="C226" s="266">
        <f>C175+1059855</f>
        <v>4917351</v>
      </c>
      <c r="D226" s="267"/>
      <c r="E226" s="266"/>
      <c r="F226" s="268"/>
    </row>
    <row r="227" spans="1:6" x14ac:dyDescent="0.5">
      <c r="A227" s="59" t="s">
        <v>383</v>
      </c>
      <c r="B227" s="56" t="s">
        <v>384</v>
      </c>
      <c r="C227" s="266">
        <f>15000*5</f>
        <v>75000</v>
      </c>
      <c r="D227" s="267"/>
      <c r="E227" s="266"/>
      <c r="F227" s="268"/>
    </row>
    <row r="228" spans="1:6" x14ac:dyDescent="0.5">
      <c r="A228" s="59" t="s">
        <v>5</v>
      </c>
      <c r="B228" s="56" t="s">
        <v>63</v>
      </c>
      <c r="C228" s="266">
        <f>C176+629390</f>
        <v>3170950</v>
      </c>
      <c r="D228" s="267"/>
      <c r="E228" s="266"/>
      <c r="F228" s="268"/>
    </row>
    <row r="229" spans="1:6" x14ac:dyDescent="0.5">
      <c r="A229" s="59" t="s">
        <v>385</v>
      </c>
      <c r="B229" s="56" t="s">
        <v>384</v>
      </c>
      <c r="C229" s="266">
        <f>9000*2*5</f>
        <v>90000</v>
      </c>
      <c r="D229" s="267"/>
      <c r="E229" s="266"/>
      <c r="F229" s="268"/>
    </row>
    <row r="230" spans="1:6" x14ac:dyDescent="0.5">
      <c r="A230" s="59" t="s">
        <v>6</v>
      </c>
      <c r="B230" s="56" t="s">
        <v>64</v>
      </c>
      <c r="C230" s="266">
        <f>C177+14017.5</f>
        <v>73203.5</v>
      </c>
      <c r="D230" s="267"/>
      <c r="E230" s="266"/>
      <c r="F230" s="268"/>
    </row>
    <row r="231" spans="1:6" x14ac:dyDescent="0.5">
      <c r="A231" s="59" t="s">
        <v>7</v>
      </c>
      <c r="B231" s="56" t="s">
        <v>65</v>
      </c>
      <c r="C231" s="266">
        <f>C178+1561769-18160+7000+4046+7000+4046+3006+18560</f>
        <v>7712387</v>
      </c>
      <c r="D231" s="267"/>
      <c r="E231" s="266"/>
      <c r="F231" s="268"/>
    </row>
    <row r="232" spans="1:6" x14ac:dyDescent="0.5">
      <c r="A232" s="59" t="s">
        <v>292</v>
      </c>
      <c r="B232" s="56" t="s">
        <v>293</v>
      </c>
      <c r="C232" s="266">
        <f>C179</f>
        <v>489780</v>
      </c>
      <c r="D232" s="267"/>
      <c r="E232" s="266"/>
      <c r="F232" s="268"/>
    </row>
    <row r="233" spans="1:6" x14ac:dyDescent="0.5">
      <c r="A233" s="59" t="s">
        <v>8</v>
      </c>
      <c r="B233" s="56" t="s">
        <v>66</v>
      </c>
      <c r="C233" s="266">
        <f>C180+760291.19+18160</f>
        <v>2041397.85</v>
      </c>
      <c r="D233" s="267"/>
      <c r="E233" s="266"/>
      <c r="F233" s="268"/>
    </row>
    <row r="234" spans="1:6" x14ac:dyDescent="0.5">
      <c r="A234" s="59" t="s">
        <v>9</v>
      </c>
      <c r="B234" s="56" t="s">
        <v>67</v>
      </c>
      <c r="C234" s="266">
        <f>C181+84535.21</f>
        <v>504279.17000000004</v>
      </c>
      <c r="D234" s="267"/>
      <c r="E234" s="266"/>
      <c r="F234" s="268"/>
    </row>
    <row r="235" spans="1:6" x14ac:dyDescent="0.5">
      <c r="A235" s="59" t="s">
        <v>10</v>
      </c>
      <c r="B235" s="56" t="s">
        <v>69</v>
      </c>
      <c r="C235" s="266">
        <f>C182+199000</f>
        <v>2876600</v>
      </c>
      <c r="D235" s="267"/>
      <c r="E235" s="266"/>
      <c r="F235" s="268"/>
    </row>
    <row r="236" spans="1:6" x14ac:dyDescent="0.5">
      <c r="A236" s="59" t="s">
        <v>11</v>
      </c>
      <c r="B236" s="56" t="s">
        <v>70</v>
      </c>
      <c r="C236" s="266">
        <f>C183+200000</f>
        <v>690800</v>
      </c>
      <c r="D236" s="267"/>
      <c r="E236" s="266"/>
      <c r="F236" s="268"/>
    </row>
    <row r="237" spans="1:6" x14ac:dyDescent="0.5">
      <c r="A237" s="59" t="s">
        <v>13</v>
      </c>
      <c r="B237" s="56" t="s">
        <v>68</v>
      </c>
      <c r="C237" s="266">
        <f>C184+30000</f>
        <v>1332536.7</v>
      </c>
      <c r="D237" s="267"/>
      <c r="E237" s="266"/>
      <c r="F237" s="268"/>
    </row>
    <row r="238" spans="1:6" x14ac:dyDescent="0.5">
      <c r="A238" s="59" t="s">
        <v>14</v>
      </c>
      <c r="B238" s="56" t="s">
        <v>71</v>
      </c>
      <c r="C238" s="266">
        <f t="shared" ref="C238:C243" si="7">C186</f>
        <v>0</v>
      </c>
      <c r="D238" s="267"/>
      <c r="E238" s="266">
        <f>E185+10286756.94+165000+3960+573000+1</f>
        <v>63842833.270000003</v>
      </c>
      <c r="F238" s="268"/>
    </row>
    <row r="239" spans="1:6" x14ac:dyDescent="0.5">
      <c r="A239" s="59" t="s">
        <v>46</v>
      </c>
      <c r="B239" s="56" t="s">
        <v>74</v>
      </c>
      <c r="C239" s="266">
        <f t="shared" si="7"/>
        <v>0</v>
      </c>
      <c r="D239" s="267"/>
      <c r="E239" s="266">
        <f>'รายละเอียด(หมายเหตุ2)'!F168</f>
        <v>5272145.1400000006</v>
      </c>
      <c r="F239" s="268"/>
    </row>
    <row r="240" spans="1:6" x14ac:dyDescent="0.5">
      <c r="A240" s="59" t="s">
        <v>114</v>
      </c>
      <c r="B240" s="56" t="s">
        <v>145</v>
      </c>
      <c r="C240" s="266">
        <f t="shared" si="7"/>
        <v>0</v>
      </c>
      <c r="D240" s="267"/>
      <c r="E240" s="266">
        <f t="shared" ref="E240:E243" si="8">E187</f>
        <v>257938</v>
      </c>
      <c r="F240" s="268"/>
    </row>
    <row r="241" spans="1:6" x14ac:dyDescent="0.5">
      <c r="A241" s="59" t="s">
        <v>975</v>
      </c>
      <c r="B241" s="56"/>
      <c r="C241" s="266">
        <f t="shared" si="7"/>
        <v>0</v>
      </c>
      <c r="D241" s="267"/>
      <c r="E241" s="266">
        <f t="shared" si="8"/>
        <v>2100</v>
      </c>
      <c r="F241" s="268"/>
    </row>
    <row r="242" spans="1:6" x14ac:dyDescent="0.5">
      <c r="A242" s="53" t="s">
        <v>111</v>
      </c>
      <c r="B242" s="54" t="s">
        <v>75</v>
      </c>
      <c r="C242" s="266">
        <f t="shared" si="7"/>
        <v>0</v>
      </c>
      <c r="D242" s="267"/>
      <c r="E242" s="266">
        <f t="shared" si="8"/>
        <v>185.94999999995343</v>
      </c>
      <c r="F242" s="268"/>
    </row>
    <row r="243" spans="1:6" x14ac:dyDescent="0.5">
      <c r="A243" s="53" t="s">
        <v>92</v>
      </c>
      <c r="B243" s="54" t="s">
        <v>93</v>
      </c>
      <c r="C243" s="266">
        <f t="shared" si="7"/>
        <v>0</v>
      </c>
      <c r="D243" s="267"/>
      <c r="E243" s="266">
        <f t="shared" si="8"/>
        <v>1200000</v>
      </c>
      <c r="F243" s="268"/>
    </row>
    <row r="244" spans="1:6" x14ac:dyDescent="0.5">
      <c r="A244" s="59" t="s">
        <v>113</v>
      </c>
      <c r="B244" s="56" t="s">
        <v>128</v>
      </c>
      <c r="C244" s="266">
        <f>C192</f>
        <v>0</v>
      </c>
      <c r="D244" s="267"/>
      <c r="E244" s="266">
        <f>E192</f>
        <v>64468830.079999998</v>
      </c>
      <c r="F244" s="268"/>
    </row>
    <row r="245" spans="1:6" x14ac:dyDescent="0.5">
      <c r="A245" s="59" t="s">
        <v>15</v>
      </c>
      <c r="B245" s="56" t="s">
        <v>73</v>
      </c>
      <c r="C245" s="266">
        <f>C193</f>
        <v>0</v>
      </c>
      <c r="D245" s="267"/>
      <c r="E245" s="266">
        <f>E193-200000</f>
        <v>42167858.840000011</v>
      </c>
      <c r="F245" s="268"/>
    </row>
    <row r="246" spans="1:6" x14ac:dyDescent="0.5">
      <c r="A246" s="59" t="s">
        <v>54</v>
      </c>
      <c r="B246" s="56" t="s">
        <v>72</v>
      </c>
      <c r="C246" s="266">
        <f>C194</f>
        <v>0</v>
      </c>
      <c r="D246" s="267"/>
      <c r="E246" s="266">
        <f>E194</f>
        <v>32433380.260000002</v>
      </c>
      <c r="F246" s="268"/>
    </row>
    <row r="247" spans="1:6" ht="24.75" thickBot="1" x14ac:dyDescent="0.55000000000000004">
      <c r="A247" s="60" t="s">
        <v>45</v>
      </c>
      <c r="B247" s="61"/>
      <c r="C247" s="269">
        <f>SUM(C205:C246)</f>
        <v>209645271.53999999</v>
      </c>
      <c r="D247" s="270"/>
      <c r="E247" s="269">
        <f>SUM(E205:E246)</f>
        <v>209645271.53999999</v>
      </c>
      <c r="F247" s="271"/>
    </row>
    <row r="248" spans="1:6" x14ac:dyDescent="0.5">
      <c r="A248" s="272"/>
      <c r="B248" s="272"/>
      <c r="C248" s="272"/>
      <c r="D248" s="57"/>
      <c r="E248" s="58"/>
      <c r="F248" s="58"/>
    </row>
    <row r="249" spans="1:6" ht="26.25" x14ac:dyDescent="0.55000000000000004">
      <c r="A249" s="66" t="s">
        <v>169</v>
      </c>
      <c r="B249" s="66"/>
      <c r="C249" s="263" t="s">
        <v>118</v>
      </c>
      <c r="D249" s="263"/>
      <c r="E249" s="263"/>
      <c r="F249" s="263"/>
    </row>
    <row r="250" spans="1:6" ht="26.25" x14ac:dyDescent="0.55000000000000004">
      <c r="A250" s="66" t="s">
        <v>170</v>
      </c>
      <c r="B250" s="66"/>
      <c r="C250" s="264" t="s">
        <v>991</v>
      </c>
      <c r="D250" s="264"/>
      <c r="E250" s="264"/>
      <c r="F250" s="264"/>
    </row>
    <row r="251" spans="1:6" ht="26.25" x14ac:dyDescent="0.55000000000000004">
      <c r="A251" s="67" t="s">
        <v>148</v>
      </c>
      <c r="B251" s="68"/>
      <c r="C251" s="265" t="s">
        <v>978</v>
      </c>
      <c r="D251" s="265"/>
      <c r="E251" s="265"/>
      <c r="F251" s="265"/>
    </row>
  </sheetData>
  <mergeCells count="463">
    <mergeCell ref="C247:D247"/>
    <mergeCell ref="E247:F247"/>
    <mergeCell ref="A248:C248"/>
    <mergeCell ref="C249:F249"/>
    <mergeCell ref="C250:F250"/>
    <mergeCell ref="C251:F251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26:D226"/>
    <mergeCell ref="E226:F226"/>
    <mergeCell ref="C228:D228"/>
    <mergeCell ref="E228:F228"/>
    <mergeCell ref="C230:D230"/>
    <mergeCell ref="E230:F230"/>
    <mergeCell ref="C231:D231"/>
    <mergeCell ref="E231:F231"/>
    <mergeCell ref="C232:D232"/>
    <mergeCell ref="E232:F232"/>
    <mergeCell ref="C227:D227"/>
    <mergeCell ref="E227:F227"/>
    <mergeCell ref="C229:D229"/>
    <mergeCell ref="E229:F229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A200:F200"/>
    <mergeCell ref="A201:F201"/>
    <mergeCell ref="A202:F202"/>
    <mergeCell ref="A203:A204"/>
    <mergeCell ref="B203:B204"/>
    <mergeCell ref="C203:D204"/>
    <mergeCell ref="E203:F204"/>
    <mergeCell ref="C205:D205"/>
    <mergeCell ref="E205:F205"/>
    <mergeCell ref="A196:C196"/>
    <mergeCell ref="C197:F197"/>
    <mergeCell ref="C198:F198"/>
    <mergeCell ref="C199:F199"/>
    <mergeCell ref="E191:F191"/>
    <mergeCell ref="C191:D191"/>
    <mergeCell ref="C190:D190"/>
    <mergeCell ref="E190:F190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A149:F149"/>
    <mergeCell ref="A150:F150"/>
    <mergeCell ref="A151:F151"/>
    <mergeCell ref="A152:A153"/>
    <mergeCell ref="B152:B153"/>
    <mergeCell ref="C152:D153"/>
    <mergeCell ref="E152:F153"/>
    <mergeCell ref="C154:D154"/>
    <mergeCell ref="E154:F154"/>
    <mergeCell ref="C10:D10"/>
    <mergeCell ref="E10:F10"/>
    <mergeCell ref="A1:F1"/>
    <mergeCell ref="A2:F2"/>
    <mergeCell ref="A3:F3"/>
    <mergeCell ref="A4:A5"/>
    <mergeCell ref="B4:B5"/>
    <mergeCell ref="C4:D5"/>
    <mergeCell ref="E4:F5"/>
    <mergeCell ref="C8:D8"/>
    <mergeCell ref="E8:F8"/>
    <mergeCell ref="C6:D6"/>
    <mergeCell ref="E6:F6"/>
    <mergeCell ref="C11:D11"/>
    <mergeCell ref="E11:F11"/>
    <mergeCell ref="C9:D9"/>
    <mergeCell ref="E9:F9"/>
    <mergeCell ref="C25:D25"/>
    <mergeCell ref="E25:F25"/>
    <mergeCell ref="C7:D7"/>
    <mergeCell ref="E7:F7"/>
    <mergeCell ref="C28:D28"/>
    <mergeCell ref="E28:F28"/>
    <mergeCell ref="C15:D15"/>
    <mergeCell ref="E15:F15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26:D26"/>
    <mergeCell ref="E26:F26"/>
    <mergeCell ref="C27:D27"/>
    <mergeCell ref="E27:F27"/>
    <mergeCell ref="C13:D13"/>
    <mergeCell ref="E13:F13"/>
    <mergeCell ref="C12:D12"/>
    <mergeCell ref="E12:F12"/>
    <mergeCell ref="C16:D16"/>
    <mergeCell ref="E16:F16"/>
    <mergeCell ref="C17:D17"/>
    <mergeCell ref="E17:F17"/>
    <mergeCell ref="C18:D18"/>
    <mergeCell ref="E18:F18"/>
    <mergeCell ref="C14:D14"/>
    <mergeCell ref="E14:F14"/>
    <mergeCell ref="C34:D34"/>
    <mergeCell ref="E34:F34"/>
    <mergeCell ref="C35:D35"/>
    <mergeCell ref="E35:F35"/>
    <mergeCell ref="C29:D29"/>
    <mergeCell ref="C36:D36"/>
    <mergeCell ref="E36:F36"/>
    <mergeCell ref="C31:D31"/>
    <mergeCell ref="E31:F31"/>
    <mergeCell ref="C32:D32"/>
    <mergeCell ref="E32:F32"/>
    <mergeCell ref="C33:D33"/>
    <mergeCell ref="E33:F33"/>
    <mergeCell ref="E29:F29"/>
    <mergeCell ref="C30:D30"/>
    <mergeCell ref="E30:F30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56:D56"/>
    <mergeCell ref="E56:F56"/>
    <mergeCell ref="C54:D54"/>
    <mergeCell ref="E54:F54"/>
    <mergeCell ref="C55:D55"/>
    <mergeCell ref="E55:F55"/>
    <mergeCell ref="C47:F47"/>
    <mergeCell ref="A51:F51"/>
    <mergeCell ref="C43:D43"/>
    <mergeCell ref="E43:F43"/>
    <mergeCell ref="A44:C44"/>
    <mergeCell ref="C45:F45"/>
    <mergeCell ref="C46:F46"/>
    <mergeCell ref="A50:F50"/>
    <mergeCell ref="A52:A53"/>
    <mergeCell ref="B52:B53"/>
    <mergeCell ref="C52:D53"/>
    <mergeCell ref="E52:F53"/>
    <mergeCell ref="A49:F49"/>
    <mergeCell ref="C59:D59"/>
    <mergeCell ref="E59:F59"/>
    <mergeCell ref="C60:D60"/>
    <mergeCell ref="E60:F60"/>
    <mergeCell ref="C61:D61"/>
    <mergeCell ref="E61:F61"/>
    <mergeCell ref="C57:D57"/>
    <mergeCell ref="E57:F57"/>
    <mergeCell ref="C58:D58"/>
    <mergeCell ref="E58:F58"/>
    <mergeCell ref="C65:D65"/>
    <mergeCell ref="E65:F65"/>
    <mergeCell ref="C66:D66"/>
    <mergeCell ref="E66:F66"/>
    <mergeCell ref="C67:D67"/>
    <mergeCell ref="E67:F67"/>
    <mergeCell ref="C62:D62"/>
    <mergeCell ref="E62:F62"/>
    <mergeCell ref="C63:D63"/>
    <mergeCell ref="E63:F63"/>
    <mergeCell ref="C64:D64"/>
    <mergeCell ref="E64:F64"/>
    <mergeCell ref="C71:D71"/>
    <mergeCell ref="E71:F71"/>
    <mergeCell ref="C72:D72"/>
    <mergeCell ref="E72:F72"/>
    <mergeCell ref="C73:D73"/>
    <mergeCell ref="E73:F73"/>
    <mergeCell ref="C68:D68"/>
    <mergeCell ref="E68:F68"/>
    <mergeCell ref="C69:D69"/>
    <mergeCell ref="E69:F69"/>
    <mergeCell ref="C70:D70"/>
    <mergeCell ref="E70:F70"/>
    <mergeCell ref="C77:D77"/>
    <mergeCell ref="E77:F77"/>
    <mergeCell ref="C79:D79"/>
    <mergeCell ref="E79:F79"/>
    <mergeCell ref="C80:D80"/>
    <mergeCell ref="E80:F80"/>
    <mergeCell ref="C78:D78"/>
    <mergeCell ref="E78:F78"/>
    <mergeCell ref="C74:D74"/>
    <mergeCell ref="E74:F74"/>
    <mergeCell ref="C75:D75"/>
    <mergeCell ref="E75:F75"/>
    <mergeCell ref="C76:D76"/>
    <mergeCell ref="E76:F76"/>
    <mergeCell ref="C84:D84"/>
    <mergeCell ref="E84:F84"/>
    <mergeCell ref="C85:D85"/>
    <mergeCell ref="E85:F85"/>
    <mergeCell ref="C86:D86"/>
    <mergeCell ref="E86:F86"/>
    <mergeCell ref="C81:D81"/>
    <mergeCell ref="E81:F81"/>
    <mergeCell ref="C82:D82"/>
    <mergeCell ref="E82:F82"/>
    <mergeCell ref="C83:D83"/>
    <mergeCell ref="E83:F83"/>
    <mergeCell ref="C87:D87"/>
    <mergeCell ref="E87:F87"/>
    <mergeCell ref="A94:C94"/>
    <mergeCell ref="C88:D88"/>
    <mergeCell ref="E88:F88"/>
    <mergeCell ref="C89:D89"/>
    <mergeCell ref="E89:F89"/>
    <mergeCell ref="C90:D90"/>
    <mergeCell ref="E90:F90"/>
    <mergeCell ref="C95:F95"/>
    <mergeCell ref="C96:F96"/>
    <mergeCell ref="C97:F97"/>
    <mergeCell ref="C91:D91"/>
    <mergeCell ref="E91:F91"/>
    <mergeCell ref="C92:D92"/>
    <mergeCell ref="E92:F92"/>
    <mergeCell ref="C93:D93"/>
    <mergeCell ref="E93:F93"/>
    <mergeCell ref="A99:F99"/>
    <mergeCell ref="A100:F100"/>
    <mergeCell ref="A101:F101"/>
    <mergeCell ref="A102:A103"/>
    <mergeCell ref="B102:B103"/>
    <mergeCell ref="C102:D103"/>
    <mergeCell ref="E102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5:D125"/>
    <mergeCell ref="E125:F125"/>
    <mergeCell ref="C124:D124"/>
    <mergeCell ref="E124:F124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6:F146"/>
    <mergeCell ref="C147:F147"/>
    <mergeCell ref="C148:F148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A145:C145"/>
  </mergeCells>
  <pageMargins left="0.59055118110236227" right="0.39370078740157483" top="7.874015748031496E-2" bottom="7.874015748031496E-2" header="0.31496062992125984" footer="0.31496062992125984"/>
  <pageSetup paperSize="9" scale="66" orientation="portrait" r:id="rId1"/>
  <rowBreaks count="4" manualBreakCount="4">
    <brk id="48" max="16383" man="1"/>
    <brk id="98" max="16383" man="1"/>
    <brk id="148" max="8" man="1"/>
    <brk id="19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1"/>
  <sheetViews>
    <sheetView view="pageBreakPreview" topLeftCell="A177" zoomScaleSheetLayoutView="150" workbookViewId="0">
      <selection activeCell="I184" sqref="I184"/>
    </sheetView>
  </sheetViews>
  <sheetFormatPr defaultColWidth="8.796875" defaultRowHeight="23.25" x14ac:dyDescent="0.5"/>
  <cols>
    <col min="1" max="1" width="20.796875" style="25" customWidth="1"/>
    <col min="2" max="2" width="4.796875" style="14" customWidth="1"/>
    <col min="3" max="3" width="3.796875" style="14" customWidth="1"/>
    <col min="4" max="4" width="21" style="14" customWidth="1"/>
    <col min="5" max="5" width="69.796875" style="14" customWidth="1"/>
    <col min="6" max="6" width="16.19921875" style="14" customWidth="1"/>
    <col min="7" max="7" width="4.3984375" style="14" customWidth="1"/>
    <col min="8" max="8" width="20.796875" style="14" customWidth="1"/>
    <col min="9" max="14" width="27.796875" style="14" customWidth="1"/>
    <col min="15" max="16384" width="8.796875" style="14"/>
  </cols>
  <sheetData>
    <row r="1" spans="1:9" x14ac:dyDescent="0.5">
      <c r="A1" s="300" t="s">
        <v>95</v>
      </c>
      <c r="B1" s="300"/>
      <c r="C1" s="300"/>
      <c r="D1" s="300"/>
      <c r="E1" s="300"/>
      <c r="F1" s="300"/>
      <c r="G1" s="300"/>
      <c r="H1" s="300"/>
    </row>
    <row r="2" spans="1:9" x14ac:dyDescent="0.5">
      <c r="A2" s="300" t="s">
        <v>147</v>
      </c>
      <c r="B2" s="300"/>
      <c r="C2" s="300"/>
      <c r="D2" s="300"/>
      <c r="E2" s="300"/>
      <c r="F2" s="300"/>
      <c r="G2" s="300"/>
      <c r="H2" s="300"/>
    </row>
    <row r="3" spans="1:9" x14ac:dyDescent="0.5">
      <c r="A3" s="20"/>
      <c r="B3" s="1"/>
      <c r="C3" s="1"/>
      <c r="D3" s="1"/>
      <c r="E3" s="1"/>
      <c r="F3" s="301" t="s">
        <v>970</v>
      </c>
      <c r="G3" s="301"/>
      <c r="H3" s="301"/>
    </row>
    <row r="4" spans="1:9" x14ac:dyDescent="0.5">
      <c r="A4" s="300" t="s">
        <v>17</v>
      </c>
      <c r="B4" s="300"/>
      <c r="C4" s="300"/>
      <c r="D4" s="300"/>
      <c r="E4" s="300"/>
      <c r="F4" s="300"/>
      <c r="G4" s="300"/>
      <c r="H4" s="300"/>
    </row>
    <row r="5" spans="1:9" ht="24" thickBot="1" x14ac:dyDescent="0.55000000000000004">
      <c r="A5" s="64"/>
      <c r="B5" s="29"/>
      <c r="C5" s="29"/>
      <c r="D5" s="29"/>
      <c r="E5" s="29"/>
      <c r="F5" s="302" t="s">
        <v>172</v>
      </c>
      <c r="G5" s="302"/>
      <c r="H5" s="302"/>
    </row>
    <row r="6" spans="1:9" ht="24" thickTop="1" x14ac:dyDescent="0.5">
      <c r="A6" s="303" t="s">
        <v>18</v>
      </c>
      <c r="B6" s="303"/>
      <c r="C6" s="303"/>
      <c r="D6" s="303"/>
      <c r="E6" s="27"/>
      <c r="F6" s="303" t="s">
        <v>19</v>
      </c>
      <c r="G6" s="303"/>
      <c r="H6" s="303"/>
    </row>
    <row r="7" spans="1:9" x14ac:dyDescent="0.5">
      <c r="A7" s="304" t="s">
        <v>20</v>
      </c>
      <c r="B7" s="305"/>
      <c r="C7" s="306" t="s">
        <v>22</v>
      </c>
      <c r="D7" s="306"/>
      <c r="E7" s="307" t="s">
        <v>0</v>
      </c>
      <c r="F7" s="113" t="s">
        <v>23</v>
      </c>
      <c r="G7" s="304" t="s">
        <v>22</v>
      </c>
      <c r="H7" s="305"/>
    </row>
    <row r="8" spans="1:9" ht="24" thickBot="1" x14ac:dyDescent="0.55000000000000004">
      <c r="A8" s="309" t="s">
        <v>21</v>
      </c>
      <c r="B8" s="310"/>
      <c r="C8" s="311" t="s">
        <v>21</v>
      </c>
      <c r="D8" s="311"/>
      <c r="E8" s="308"/>
      <c r="F8" s="114" t="s">
        <v>24</v>
      </c>
      <c r="G8" s="309" t="s">
        <v>21</v>
      </c>
      <c r="H8" s="310"/>
    </row>
    <row r="9" spans="1:9" ht="24" thickTop="1" x14ac:dyDescent="0.5">
      <c r="A9" s="19"/>
      <c r="B9" s="27"/>
      <c r="C9" s="312">
        <f>G9</f>
        <v>53744181.479999997</v>
      </c>
      <c r="D9" s="313"/>
      <c r="E9" s="14" t="s">
        <v>25</v>
      </c>
      <c r="F9" s="30"/>
      <c r="G9" s="312">
        <v>53744181.479999997</v>
      </c>
      <c r="H9" s="313"/>
      <c r="I9" s="18"/>
    </row>
    <row r="10" spans="1:9" x14ac:dyDescent="0.5">
      <c r="A10" s="8"/>
      <c r="B10" s="6"/>
      <c r="C10" s="298"/>
      <c r="D10" s="299"/>
      <c r="E10" s="14" t="s">
        <v>446</v>
      </c>
      <c r="F10" s="31" t="s">
        <v>71</v>
      </c>
      <c r="G10" s="298"/>
      <c r="H10" s="299"/>
    </row>
    <row r="11" spans="1:9" x14ac:dyDescent="0.5">
      <c r="A11" s="8">
        <v>3565000</v>
      </c>
      <c r="B11" s="5" t="s">
        <v>16</v>
      </c>
      <c r="C11" s="298">
        <f>G11</f>
        <v>3504</v>
      </c>
      <c r="D11" s="299"/>
      <c r="E11" s="14" t="s">
        <v>26</v>
      </c>
      <c r="F11" s="31" t="s">
        <v>77</v>
      </c>
      <c r="G11" s="298">
        <v>3504</v>
      </c>
      <c r="H11" s="299"/>
      <c r="I11" s="32"/>
    </row>
    <row r="12" spans="1:9" x14ac:dyDescent="0.5">
      <c r="A12" s="8">
        <v>1135000</v>
      </c>
      <c r="B12" s="5" t="s">
        <v>16</v>
      </c>
      <c r="C12" s="298">
        <f t="shared" ref="C12:C18" si="0">G12</f>
        <v>70095</v>
      </c>
      <c r="D12" s="299"/>
      <c r="E12" s="14" t="s">
        <v>27</v>
      </c>
      <c r="F12" s="31" t="s">
        <v>78</v>
      </c>
      <c r="G12" s="298">
        <v>70095</v>
      </c>
      <c r="H12" s="299"/>
      <c r="I12" s="32"/>
    </row>
    <row r="13" spans="1:9" x14ac:dyDescent="0.5">
      <c r="A13" s="8">
        <v>401000</v>
      </c>
      <c r="B13" s="5" t="s">
        <v>16</v>
      </c>
      <c r="C13" s="298">
        <f t="shared" si="0"/>
        <v>30000</v>
      </c>
      <c r="D13" s="299"/>
      <c r="E13" s="14" t="s">
        <v>28</v>
      </c>
      <c r="F13" s="31" t="s">
        <v>79</v>
      </c>
      <c r="G13" s="298">
        <v>30000</v>
      </c>
      <c r="H13" s="299"/>
      <c r="I13" s="32"/>
    </row>
    <row r="14" spans="1:9" x14ac:dyDescent="0.5">
      <c r="A14" s="8">
        <v>1000</v>
      </c>
      <c r="B14" s="5" t="s">
        <v>16</v>
      </c>
      <c r="C14" s="298">
        <f t="shared" si="0"/>
        <v>0</v>
      </c>
      <c r="D14" s="299"/>
      <c r="E14" s="14" t="s">
        <v>29</v>
      </c>
      <c r="F14" s="31" t="s">
        <v>81</v>
      </c>
      <c r="G14" s="298"/>
      <c r="H14" s="299"/>
      <c r="I14" s="33"/>
    </row>
    <row r="15" spans="1:9" x14ac:dyDescent="0.5">
      <c r="A15" s="8">
        <v>152000</v>
      </c>
      <c r="B15" s="5" t="s">
        <v>16</v>
      </c>
      <c r="C15" s="298">
        <f t="shared" si="0"/>
        <v>6864</v>
      </c>
      <c r="D15" s="299"/>
      <c r="E15" s="14" t="s">
        <v>30</v>
      </c>
      <c r="F15" s="31" t="s">
        <v>80</v>
      </c>
      <c r="G15" s="298">
        <v>6864</v>
      </c>
      <c r="H15" s="299"/>
      <c r="I15" s="32"/>
    </row>
    <row r="16" spans="1:9" x14ac:dyDescent="0.5">
      <c r="A16" s="2">
        <v>1000</v>
      </c>
      <c r="B16" s="5"/>
      <c r="C16" s="298">
        <f t="shared" si="0"/>
        <v>0</v>
      </c>
      <c r="D16" s="299"/>
      <c r="E16" s="14" t="s">
        <v>31</v>
      </c>
      <c r="F16" s="31" t="s">
        <v>82</v>
      </c>
      <c r="G16" s="298"/>
      <c r="H16" s="299"/>
      <c r="I16" s="32"/>
    </row>
    <row r="17" spans="1:9" x14ac:dyDescent="0.5">
      <c r="A17" s="8">
        <v>54205000</v>
      </c>
      <c r="B17" s="5" t="s">
        <v>16</v>
      </c>
      <c r="C17" s="298">
        <f t="shared" si="0"/>
        <v>2877437.83</v>
      </c>
      <c r="D17" s="299"/>
      <c r="E17" s="14" t="s">
        <v>32</v>
      </c>
      <c r="F17" s="31" t="s">
        <v>83</v>
      </c>
      <c r="G17" s="298">
        <v>2877437.83</v>
      </c>
      <c r="H17" s="299"/>
      <c r="I17" s="32"/>
    </row>
    <row r="18" spans="1:9" x14ac:dyDescent="0.5">
      <c r="A18" s="8">
        <v>27386000</v>
      </c>
      <c r="B18" s="5" t="s">
        <v>16</v>
      </c>
      <c r="C18" s="298">
        <f t="shared" si="0"/>
        <v>0</v>
      </c>
      <c r="D18" s="299"/>
      <c r="E18" s="14" t="s">
        <v>13</v>
      </c>
      <c r="F18" s="31" t="s">
        <v>84</v>
      </c>
      <c r="G18" s="298">
        <v>0</v>
      </c>
      <c r="H18" s="299"/>
      <c r="I18" s="32"/>
    </row>
    <row r="19" spans="1:9" ht="24" thickBot="1" x14ac:dyDescent="0.55000000000000004">
      <c r="A19" s="69">
        <f>SUM(A11:A18)</f>
        <v>86846000</v>
      </c>
      <c r="B19" s="65" t="s">
        <v>16</v>
      </c>
      <c r="C19" s="294">
        <f>SUM(C11:C18)</f>
        <v>2987900.83</v>
      </c>
      <c r="D19" s="295"/>
      <c r="F19" s="31"/>
      <c r="G19" s="294">
        <f>SUM(G11:G18)</f>
        <v>2987900.83</v>
      </c>
      <c r="H19" s="295"/>
      <c r="I19" s="18">
        <f>C19-G19</f>
        <v>0</v>
      </c>
    </row>
    <row r="20" spans="1:9" s="24" customFormat="1" ht="24" thickTop="1" x14ac:dyDescent="0.5">
      <c r="A20" s="35"/>
      <c r="C20" s="296"/>
      <c r="D20" s="297"/>
      <c r="E20" s="47" t="s">
        <v>134</v>
      </c>
      <c r="F20" s="38"/>
      <c r="G20" s="296">
        <v>0</v>
      </c>
      <c r="H20" s="297"/>
    </row>
    <row r="21" spans="1:9" s="24" customFormat="1" x14ac:dyDescent="0.5">
      <c r="A21" s="35"/>
      <c r="C21" s="286">
        <f>G21</f>
        <v>0</v>
      </c>
      <c r="D21" s="287"/>
      <c r="E21" s="24" t="s">
        <v>155</v>
      </c>
      <c r="F21" s="38"/>
      <c r="G21" s="286"/>
      <c r="H21" s="287"/>
    </row>
    <row r="22" spans="1:9" s="24" customFormat="1" x14ac:dyDescent="0.5">
      <c r="A22" s="35"/>
      <c r="C22" s="286"/>
      <c r="D22" s="287"/>
      <c r="E22" s="24" t="s">
        <v>156</v>
      </c>
      <c r="F22" s="38"/>
      <c r="G22" s="286"/>
      <c r="H22" s="287"/>
      <c r="I22" s="44"/>
    </row>
    <row r="23" spans="1:9" s="24" customFormat="1" x14ac:dyDescent="0.5">
      <c r="A23" s="35"/>
      <c r="C23" s="286"/>
      <c r="D23" s="287"/>
      <c r="E23" s="47" t="s">
        <v>135</v>
      </c>
      <c r="F23" s="38"/>
      <c r="G23" s="288"/>
      <c r="H23" s="289"/>
    </row>
    <row r="24" spans="1:9" s="24" customFormat="1" x14ac:dyDescent="0.5">
      <c r="A24" s="35"/>
      <c r="C24" s="286"/>
      <c r="D24" s="287"/>
      <c r="E24" s="24" t="s">
        <v>157</v>
      </c>
      <c r="F24" s="38"/>
      <c r="G24" s="286"/>
      <c r="H24" s="287"/>
    </row>
    <row r="25" spans="1:9" s="24" customFormat="1" x14ac:dyDescent="0.5">
      <c r="A25" s="35"/>
      <c r="C25" s="286"/>
      <c r="D25" s="287"/>
      <c r="E25" s="24" t="s">
        <v>158</v>
      </c>
      <c r="F25" s="38"/>
      <c r="G25" s="286"/>
      <c r="H25" s="287"/>
    </row>
    <row r="26" spans="1:9" s="24" customFormat="1" x14ac:dyDescent="0.5">
      <c r="A26" s="35"/>
      <c r="C26" s="286"/>
      <c r="D26" s="287"/>
      <c r="E26" s="24" t="s">
        <v>160</v>
      </c>
      <c r="F26" s="38"/>
      <c r="G26" s="286"/>
      <c r="H26" s="287"/>
    </row>
    <row r="27" spans="1:9" s="24" customFormat="1" x14ac:dyDescent="0.5">
      <c r="A27" s="35"/>
      <c r="C27" s="286"/>
      <c r="D27" s="287"/>
      <c r="E27" s="24" t="s">
        <v>159</v>
      </c>
      <c r="F27" s="38"/>
      <c r="G27" s="286"/>
      <c r="H27" s="287"/>
    </row>
    <row r="28" spans="1:9" s="24" customFormat="1" x14ac:dyDescent="0.5">
      <c r="A28" s="35"/>
      <c r="C28" s="286">
        <f t="shared" ref="C28:C37" si="1">G28</f>
        <v>478621.25</v>
      </c>
      <c r="D28" s="287"/>
      <c r="E28" s="24" t="s">
        <v>33</v>
      </c>
      <c r="F28" s="38" t="s">
        <v>74</v>
      </c>
      <c r="G28" s="288">
        <f>'รายละเอียด(หมายเหตุ2)'!D21</f>
        <v>478621.25</v>
      </c>
      <c r="H28" s="289"/>
    </row>
    <row r="29" spans="1:9" s="24" customFormat="1" x14ac:dyDescent="0.5">
      <c r="A29" s="35"/>
      <c r="C29" s="286">
        <f t="shared" si="1"/>
        <v>6668</v>
      </c>
      <c r="D29" s="287"/>
      <c r="E29" s="24" t="s">
        <v>34</v>
      </c>
      <c r="F29" s="38" t="s">
        <v>61</v>
      </c>
      <c r="G29" s="288">
        <v>6668</v>
      </c>
      <c r="H29" s="289"/>
      <c r="I29" s="62"/>
    </row>
    <row r="30" spans="1:9" s="24" customFormat="1" x14ac:dyDescent="0.5">
      <c r="A30" s="35"/>
      <c r="C30" s="286">
        <f t="shared" si="1"/>
        <v>0</v>
      </c>
      <c r="D30" s="287"/>
      <c r="E30" s="24" t="s">
        <v>56</v>
      </c>
      <c r="F30" s="38" t="s">
        <v>60</v>
      </c>
      <c r="G30" s="288"/>
      <c r="H30" s="289"/>
      <c r="I30" s="44"/>
    </row>
    <row r="31" spans="1:9" s="24" customFormat="1" x14ac:dyDescent="0.5">
      <c r="A31" s="35"/>
      <c r="C31" s="286">
        <f t="shared" si="1"/>
        <v>0</v>
      </c>
      <c r="D31" s="287"/>
      <c r="E31" s="24" t="s">
        <v>137</v>
      </c>
      <c r="F31" s="38" t="s">
        <v>141</v>
      </c>
      <c r="G31" s="288"/>
      <c r="H31" s="289"/>
      <c r="I31" s="44"/>
    </row>
    <row r="32" spans="1:9" s="24" customFormat="1" x14ac:dyDescent="0.5">
      <c r="A32" s="35"/>
      <c r="C32" s="286">
        <f t="shared" si="1"/>
        <v>0</v>
      </c>
      <c r="D32" s="287"/>
      <c r="E32" s="24" t="s">
        <v>102</v>
      </c>
      <c r="F32" s="38" t="s">
        <v>142</v>
      </c>
      <c r="G32" s="288"/>
      <c r="H32" s="289"/>
    </row>
    <row r="33" spans="1:8" s="24" customFormat="1" x14ac:dyDescent="0.5">
      <c r="A33" s="35"/>
      <c r="C33" s="286">
        <f t="shared" si="1"/>
        <v>114</v>
      </c>
      <c r="D33" s="287"/>
      <c r="E33" s="24" t="s">
        <v>138</v>
      </c>
      <c r="F33" s="38" t="s">
        <v>143</v>
      </c>
      <c r="G33" s="288">
        <v>114</v>
      </c>
      <c r="H33" s="289"/>
    </row>
    <row r="34" spans="1:8" s="24" customFormat="1" x14ac:dyDescent="0.5">
      <c r="A34" s="35"/>
      <c r="C34" s="286">
        <f t="shared" si="1"/>
        <v>200</v>
      </c>
      <c r="D34" s="287"/>
      <c r="E34" s="24" t="s">
        <v>125</v>
      </c>
      <c r="F34" s="38" t="s">
        <v>144</v>
      </c>
      <c r="G34" s="288">
        <v>200</v>
      </c>
      <c r="H34" s="289"/>
    </row>
    <row r="35" spans="1:8" s="24" customFormat="1" x14ac:dyDescent="0.5">
      <c r="A35" s="35"/>
      <c r="C35" s="286">
        <f t="shared" si="1"/>
        <v>0</v>
      </c>
      <c r="D35" s="287"/>
      <c r="E35" s="24" t="s">
        <v>139</v>
      </c>
      <c r="F35" s="38" t="s">
        <v>146</v>
      </c>
      <c r="G35" s="288"/>
      <c r="H35" s="289"/>
    </row>
    <row r="36" spans="1:8" s="24" customFormat="1" ht="20.25" customHeight="1" x14ac:dyDescent="0.5">
      <c r="A36" s="35"/>
      <c r="C36" s="286">
        <f t="shared" si="1"/>
        <v>107699</v>
      </c>
      <c r="D36" s="287"/>
      <c r="E36" s="24" t="s">
        <v>115</v>
      </c>
      <c r="F36" s="38" t="s">
        <v>140</v>
      </c>
      <c r="G36" s="288">
        <v>107699</v>
      </c>
      <c r="H36" s="289"/>
    </row>
    <row r="37" spans="1:8" x14ac:dyDescent="0.5">
      <c r="A37" s="35"/>
      <c r="B37" s="24"/>
      <c r="C37" s="288">
        <f t="shared" si="1"/>
        <v>3939.09</v>
      </c>
      <c r="D37" s="289"/>
      <c r="E37" s="24" t="s">
        <v>15</v>
      </c>
      <c r="F37" s="38" t="s">
        <v>309</v>
      </c>
      <c r="G37" s="288">
        <v>3939.09</v>
      </c>
      <c r="H37" s="289"/>
    </row>
    <row r="38" spans="1:8" s="24" customFormat="1" x14ac:dyDescent="0.5">
      <c r="A38" s="35"/>
      <c r="C38" s="286"/>
      <c r="D38" s="287"/>
      <c r="E38" s="24" t="s">
        <v>111</v>
      </c>
      <c r="F38" s="38" t="s">
        <v>75</v>
      </c>
      <c r="G38" s="288">
        <v>0</v>
      </c>
      <c r="H38" s="289"/>
    </row>
    <row r="39" spans="1:8" s="24" customFormat="1" x14ac:dyDescent="0.5">
      <c r="A39" s="35"/>
      <c r="C39" s="286"/>
      <c r="D39" s="287"/>
      <c r="E39" s="24" t="s">
        <v>92</v>
      </c>
      <c r="F39" s="38" t="s">
        <v>93</v>
      </c>
      <c r="G39" s="288"/>
      <c r="H39" s="289"/>
    </row>
    <row r="40" spans="1:8" s="24" customFormat="1" x14ac:dyDescent="0.5">
      <c r="A40" s="35"/>
      <c r="C40" s="286">
        <f>G40</f>
        <v>0</v>
      </c>
      <c r="D40" s="287"/>
      <c r="E40" s="24" t="s">
        <v>174</v>
      </c>
      <c r="F40" s="38" t="s">
        <v>128</v>
      </c>
      <c r="G40" s="288"/>
      <c r="H40" s="289"/>
    </row>
    <row r="41" spans="1:8" s="24" customFormat="1" x14ac:dyDescent="0.5">
      <c r="A41" s="35"/>
      <c r="C41" s="290">
        <f>SUM(C21:C40)</f>
        <v>597241.34</v>
      </c>
      <c r="D41" s="291"/>
      <c r="F41" s="38"/>
      <c r="G41" s="292">
        <f>SUM(G21:G40)</f>
        <v>597241.34</v>
      </c>
      <c r="H41" s="293"/>
    </row>
    <row r="42" spans="1:8" ht="24" thickBot="1" x14ac:dyDescent="0.55000000000000004">
      <c r="A42" s="35"/>
      <c r="C42" s="294">
        <f>C19+C41</f>
        <v>3585142.17</v>
      </c>
      <c r="D42" s="295"/>
      <c r="E42" s="112" t="s">
        <v>35</v>
      </c>
      <c r="F42" s="34"/>
      <c r="G42" s="294">
        <f>G19+G41</f>
        <v>3585142.17</v>
      </c>
      <c r="H42" s="295"/>
    </row>
    <row r="43" spans="1:8" ht="24" thickTop="1" x14ac:dyDescent="0.5"/>
    <row r="44" spans="1:8" x14ac:dyDescent="0.5">
      <c r="A44" s="300" t="s">
        <v>95</v>
      </c>
      <c r="B44" s="300"/>
      <c r="C44" s="300"/>
      <c r="D44" s="300"/>
      <c r="E44" s="300"/>
      <c r="F44" s="300"/>
      <c r="G44" s="300"/>
      <c r="H44" s="300"/>
    </row>
    <row r="45" spans="1:8" x14ac:dyDescent="0.5">
      <c r="A45" s="300" t="s">
        <v>147</v>
      </c>
      <c r="B45" s="300"/>
      <c r="C45" s="300"/>
      <c r="D45" s="300"/>
      <c r="E45" s="300"/>
      <c r="F45" s="300"/>
      <c r="G45" s="300"/>
      <c r="H45" s="300"/>
    </row>
    <row r="46" spans="1:8" x14ac:dyDescent="0.5">
      <c r="A46" s="20"/>
      <c r="B46" s="1"/>
      <c r="C46" s="1"/>
      <c r="D46" s="1"/>
      <c r="E46" s="1"/>
      <c r="F46" s="301" t="s">
        <v>970</v>
      </c>
      <c r="G46" s="301"/>
      <c r="H46" s="301"/>
    </row>
    <row r="47" spans="1:8" x14ac:dyDescent="0.5">
      <c r="A47" s="300" t="s">
        <v>17</v>
      </c>
      <c r="B47" s="300"/>
      <c r="C47" s="300"/>
      <c r="D47" s="300"/>
      <c r="E47" s="300"/>
      <c r="F47" s="300"/>
      <c r="G47" s="300"/>
      <c r="H47" s="300"/>
    </row>
    <row r="48" spans="1:8" ht="24" thickBot="1" x14ac:dyDescent="0.55000000000000004">
      <c r="A48" s="64"/>
      <c r="B48" s="29"/>
      <c r="C48" s="29"/>
      <c r="D48" s="29"/>
      <c r="E48" s="29"/>
      <c r="F48" s="302" t="s">
        <v>972</v>
      </c>
      <c r="G48" s="302"/>
      <c r="H48" s="302"/>
    </row>
    <row r="49" spans="1:8" ht="24" thickTop="1" x14ac:dyDescent="0.5">
      <c r="A49" s="303" t="s">
        <v>18</v>
      </c>
      <c r="B49" s="303"/>
      <c r="C49" s="303"/>
      <c r="D49" s="303"/>
      <c r="E49" s="27"/>
      <c r="F49" s="303" t="s">
        <v>19</v>
      </c>
      <c r="G49" s="303"/>
      <c r="H49" s="303"/>
    </row>
    <row r="50" spans="1:8" x14ac:dyDescent="0.5">
      <c r="A50" s="304" t="s">
        <v>20</v>
      </c>
      <c r="B50" s="305"/>
      <c r="C50" s="306" t="s">
        <v>22</v>
      </c>
      <c r="D50" s="306"/>
      <c r="E50" s="307" t="s">
        <v>0</v>
      </c>
      <c r="F50" s="219" t="s">
        <v>23</v>
      </c>
      <c r="G50" s="304" t="s">
        <v>22</v>
      </c>
      <c r="H50" s="305"/>
    </row>
    <row r="51" spans="1:8" ht="24" thickBot="1" x14ac:dyDescent="0.55000000000000004">
      <c r="A51" s="309" t="s">
        <v>21</v>
      </c>
      <c r="B51" s="310"/>
      <c r="C51" s="311" t="s">
        <v>21</v>
      </c>
      <c r="D51" s="311"/>
      <c r="E51" s="308"/>
      <c r="F51" s="220" t="s">
        <v>24</v>
      </c>
      <c r="G51" s="309" t="s">
        <v>21</v>
      </c>
      <c r="H51" s="310"/>
    </row>
    <row r="52" spans="1:8" ht="24" thickTop="1" x14ac:dyDescent="0.5">
      <c r="A52" s="19"/>
      <c r="B52" s="27"/>
      <c r="C52" s="312">
        <f>C9</f>
        <v>53744181.479999997</v>
      </c>
      <c r="D52" s="313"/>
      <c r="E52" s="14" t="s">
        <v>25</v>
      </c>
      <c r="F52" s="30"/>
      <c r="G52" s="312">
        <f>'ใบต่อ  55'!G44:H44</f>
        <v>53259235.899999999</v>
      </c>
      <c r="H52" s="313"/>
    </row>
    <row r="53" spans="1:8" x14ac:dyDescent="0.5">
      <c r="A53" s="8"/>
      <c r="B53" s="6"/>
      <c r="C53" s="298"/>
      <c r="D53" s="299"/>
      <c r="E53" s="14" t="s">
        <v>446</v>
      </c>
      <c r="F53" s="31" t="s">
        <v>71</v>
      </c>
      <c r="G53" s="298"/>
      <c r="H53" s="299"/>
    </row>
    <row r="54" spans="1:8" x14ac:dyDescent="0.5">
      <c r="A54" s="8">
        <v>3565000</v>
      </c>
      <c r="B54" s="5" t="s">
        <v>16</v>
      </c>
      <c r="C54" s="298">
        <f>C11+G54</f>
        <v>16790</v>
      </c>
      <c r="D54" s="299"/>
      <c r="E54" s="14" t="s">
        <v>26</v>
      </c>
      <c r="F54" s="31" t="s">
        <v>77</v>
      </c>
      <c r="G54" s="298">
        <f>9250+1600+2436</f>
        <v>13286</v>
      </c>
      <c r="H54" s="299"/>
    </row>
    <row r="55" spans="1:8" x14ac:dyDescent="0.5">
      <c r="A55" s="8">
        <v>1135000</v>
      </c>
      <c r="B55" s="5" t="s">
        <v>16</v>
      </c>
      <c r="C55" s="298">
        <f t="shared" ref="C55:C61" si="2">C12+G55</f>
        <v>152186</v>
      </c>
      <c r="D55" s="299"/>
      <c r="E55" s="14" t="s">
        <v>27</v>
      </c>
      <c r="F55" s="31" t="s">
        <v>78</v>
      </c>
      <c r="G55" s="298">
        <f>320+43180+7300+2510+11840+550+13800+2516+75</f>
        <v>82091</v>
      </c>
      <c r="H55" s="299"/>
    </row>
    <row r="56" spans="1:8" x14ac:dyDescent="0.5">
      <c r="A56" s="8">
        <v>401000</v>
      </c>
      <c r="B56" s="5" t="s">
        <v>16</v>
      </c>
      <c r="C56" s="298">
        <f t="shared" si="2"/>
        <v>45000</v>
      </c>
      <c r="D56" s="299"/>
      <c r="E56" s="14" t="s">
        <v>28</v>
      </c>
      <c r="F56" s="31" t="s">
        <v>79</v>
      </c>
      <c r="G56" s="298">
        <f>15000</f>
        <v>15000</v>
      </c>
      <c r="H56" s="299"/>
    </row>
    <row r="57" spans="1:8" x14ac:dyDescent="0.5">
      <c r="A57" s="8">
        <v>1000</v>
      </c>
      <c r="B57" s="5" t="s">
        <v>16</v>
      </c>
      <c r="C57" s="298">
        <f t="shared" si="2"/>
        <v>0</v>
      </c>
      <c r="D57" s="299"/>
      <c r="E57" s="14" t="s">
        <v>29</v>
      </c>
      <c r="F57" s="31" t="s">
        <v>81</v>
      </c>
      <c r="G57" s="298"/>
      <c r="H57" s="299"/>
    </row>
    <row r="58" spans="1:8" x14ac:dyDescent="0.5">
      <c r="A58" s="8">
        <v>152000</v>
      </c>
      <c r="B58" s="5" t="s">
        <v>16</v>
      </c>
      <c r="C58" s="298">
        <f t="shared" si="2"/>
        <v>8480</v>
      </c>
      <c r="D58" s="299"/>
      <c r="E58" s="14" t="s">
        <v>30</v>
      </c>
      <c r="F58" s="31" t="s">
        <v>80</v>
      </c>
      <c r="G58" s="298">
        <f>28+428+1160</f>
        <v>1616</v>
      </c>
      <c r="H58" s="299"/>
    </row>
    <row r="59" spans="1:8" x14ac:dyDescent="0.5">
      <c r="A59" s="2">
        <v>1000</v>
      </c>
      <c r="B59" s="5"/>
      <c r="C59" s="298">
        <f t="shared" si="2"/>
        <v>0</v>
      </c>
      <c r="D59" s="299"/>
      <c r="E59" s="14" t="s">
        <v>31</v>
      </c>
      <c r="F59" s="31" t="s">
        <v>82</v>
      </c>
      <c r="G59" s="298"/>
      <c r="H59" s="299"/>
    </row>
    <row r="60" spans="1:8" x14ac:dyDescent="0.5">
      <c r="A60" s="8">
        <v>54205000</v>
      </c>
      <c r="B60" s="5" t="s">
        <v>16</v>
      </c>
      <c r="C60" s="298">
        <f t="shared" si="2"/>
        <v>11086973.949999999</v>
      </c>
      <c r="D60" s="299"/>
      <c r="E60" s="14" t="s">
        <v>32</v>
      </c>
      <c r="F60" s="31" t="s">
        <v>83</v>
      </c>
      <c r="G60" s="298">
        <f>5787724.55+895438.91+529447.14+576113.52+420812</f>
        <v>8209536.1199999992</v>
      </c>
      <c r="H60" s="299"/>
    </row>
    <row r="61" spans="1:8" x14ac:dyDescent="0.5">
      <c r="A61" s="8">
        <v>27386000</v>
      </c>
      <c r="B61" s="5" t="s">
        <v>16</v>
      </c>
      <c r="C61" s="298">
        <f t="shared" si="2"/>
        <v>0</v>
      </c>
      <c r="D61" s="299"/>
      <c r="E61" s="14" t="s">
        <v>13</v>
      </c>
      <c r="F61" s="31" t="s">
        <v>84</v>
      </c>
      <c r="G61" s="298">
        <v>0</v>
      </c>
      <c r="H61" s="299"/>
    </row>
    <row r="62" spans="1:8" ht="24" thickBot="1" x14ac:dyDescent="0.55000000000000004">
      <c r="A62" s="69">
        <f>SUM(A54:A61)</f>
        <v>86846000</v>
      </c>
      <c r="B62" s="65" t="s">
        <v>16</v>
      </c>
      <c r="C62" s="294">
        <f>SUM(C54:C61)</f>
        <v>11309429.949999999</v>
      </c>
      <c r="D62" s="295"/>
      <c r="F62" s="31"/>
      <c r="G62" s="294">
        <f>SUM(G54:G61)</f>
        <v>8321529.1199999992</v>
      </c>
      <c r="H62" s="295"/>
    </row>
    <row r="63" spans="1:8" ht="24" thickTop="1" x14ac:dyDescent="0.5">
      <c r="A63" s="35"/>
      <c r="B63" s="24"/>
      <c r="C63" s="296"/>
      <c r="D63" s="297"/>
      <c r="E63" s="47" t="s">
        <v>134</v>
      </c>
      <c r="F63" s="38"/>
      <c r="G63" s="296">
        <v>0</v>
      </c>
      <c r="H63" s="297"/>
    </row>
    <row r="64" spans="1:8" x14ac:dyDescent="0.5">
      <c r="A64" s="35"/>
      <c r="B64" s="24"/>
      <c r="C64" s="286">
        <f>G64</f>
        <v>7060200</v>
      </c>
      <c r="D64" s="287"/>
      <c r="E64" s="24" t="s">
        <v>155</v>
      </c>
      <c r="F64" s="38"/>
      <c r="G64" s="286">
        <v>7060200</v>
      </c>
      <c r="H64" s="287"/>
    </row>
    <row r="65" spans="1:8" x14ac:dyDescent="0.5">
      <c r="A65" s="35"/>
      <c r="B65" s="24"/>
      <c r="C65" s="286"/>
      <c r="D65" s="287"/>
      <c r="E65" s="24" t="s">
        <v>156</v>
      </c>
      <c r="F65" s="38"/>
      <c r="G65" s="286"/>
      <c r="H65" s="287"/>
    </row>
    <row r="66" spans="1:8" x14ac:dyDescent="0.5">
      <c r="A66" s="35"/>
      <c r="B66" s="24"/>
      <c r="C66" s="286"/>
      <c r="D66" s="287"/>
      <c r="E66" s="47" t="s">
        <v>135</v>
      </c>
      <c r="F66" s="38"/>
      <c r="G66" s="288"/>
      <c r="H66" s="289"/>
    </row>
    <row r="67" spans="1:8" x14ac:dyDescent="0.5">
      <c r="A67" s="35"/>
      <c r="B67" s="24"/>
      <c r="C67" s="286"/>
      <c r="D67" s="287"/>
      <c r="E67" s="24" t="s">
        <v>157</v>
      </c>
      <c r="F67" s="38"/>
      <c r="G67" s="286"/>
      <c r="H67" s="287"/>
    </row>
    <row r="68" spans="1:8" x14ac:dyDescent="0.5">
      <c r="A68" s="35"/>
      <c r="B68" s="24"/>
      <c r="C68" s="286"/>
      <c r="D68" s="287"/>
      <c r="E68" s="24" t="s">
        <v>158</v>
      </c>
      <c r="F68" s="38"/>
      <c r="G68" s="286"/>
      <c r="H68" s="287"/>
    </row>
    <row r="69" spans="1:8" x14ac:dyDescent="0.5">
      <c r="A69" s="35"/>
      <c r="B69" s="24"/>
      <c r="C69" s="286"/>
      <c r="D69" s="287"/>
      <c r="E69" s="24" t="s">
        <v>160</v>
      </c>
      <c r="F69" s="38"/>
      <c r="G69" s="286"/>
      <c r="H69" s="287"/>
    </row>
    <row r="70" spans="1:8" x14ac:dyDescent="0.5">
      <c r="A70" s="35">
        <f>C62+C64+C70</f>
        <v>18859409.949999999</v>
      </c>
      <c r="B70" s="24"/>
      <c r="C70" s="286">
        <f>G70</f>
        <v>489780</v>
      </c>
      <c r="D70" s="287"/>
      <c r="E70" s="24" t="s">
        <v>286</v>
      </c>
      <c r="F70" s="38"/>
      <c r="G70" s="286">
        <v>489780</v>
      </c>
      <c r="H70" s="287"/>
    </row>
    <row r="71" spans="1:8" x14ac:dyDescent="0.5">
      <c r="A71" s="35"/>
      <c r="B71" s="24"/>
      <c r="C71" s="286">
        <f>C28+G71</f>
        <v>926756.59</v>
      </c>
      <c r="D71" s="287"/>
      <c r="E71" s="24" t="s">
        <v>33</v>
      </c>
      <c r="F71" s="38" t="s">
        <v>74</v>
      </c>
      <c r="G71" s="288">
        <f>'รายละเอียด(หมายเหตุ2)'!D55</f>
        <v>448135.33999999997</v>
      </c>
      <c r="H71" s="289"/>
    </row>
    <row r="72" spans="1:8" x14ac:dyDescent="0.5">
      <c r="A72" s="35"/>
      <c r="B72" s="24"/>
      <c r="C72" s="286">
        <f t="shared" ref="C72:C83" si="3">C29+G72</f>
        <v>48668</v>
      </c>
      <c r="D72" s="287"/>
      <c r="E72" s="24" t="s">
        <v>34</v>
      </c>
      <c r="F72" s="38" t="s">
        <v>61</v>
      </c>
      <c r="G72" s="288">
        <v>42000</v>
      </c>
      <c r="H72" s="289"/>
    </row>
    <row r="73" spans="1:8" x14ac:dyDescent="0.5">
      <c r="A73" s="35"/>
      <c r="B73" s="24"/>
      <c r="C73" s="286">
        <f t="shared" si="3"/>
        <v>1400</v>
      </c>
      <c r="D73" s="287"/>
      <c r="E73" s="24" t="s">
        <v>56</v>
      </c>
      <c r="F73" s="38" t="s">
        <v>60</v>
      </c>
      <c r="G73" s="288">
        <v>1400</v>
      </c>
      <c r="H73" s="289"/>
    </row>
    <row r="74" spans="1:8" x14ac:dyDescent="0.5">
      <c r="A74" s="35"/>
      <c r="B74" s="24"/>
      <c r="C74" s="286">
        <f t="shared" si="3"/>
        <v>0</v>
      </c>
      <c r="D74" s="287"/>
      <c r="E74" s="24" t="s">
        <v>137</v>
      </c>
      <c r="F74" s="38" t="s">
        <v>141</v>
      </c>
      <c r="G74" s="288"/>
      <c r="H74" s="289"/>
    </row>
    <row r="75" spans="1:8" x14ac:dyDescent="0.5">
      <c r="A75" s="35"/>
      <c r="B75" s="24"/>
      <c r="C75" s="286">
        <f t="shared" si="3"/>
        <v>0</v>
      </c>
      <c r="D75" s="287"/>
      <c r="E75" s="24" t="s">
        <v>102</v>
      </c>
      <c r="F75" s="38" t="s">
        <v>142</v>
      </c>
      <c r="G75" s="288"/>
      <c r="H75" s="289"/>
    </row>
    <row r="76" spans="1:8" x14ac:dyDescent="0.5">
      <c r="A76" s="35"/>
      <c r="B76" s="24"/>
      <c r="C76" s="286">
        <f t="shared" si="3"/>
        <v>114</v>
      </c>
      <c r="D76" s="287"/>
      <c r="E76" s="24" t="s">
        <v>138</v>
      </c>
      <c r="F76" s="38" t="s">
        <v>143</v>
      </c>
      <c r="G76" s="288"/>
      <c r="H76" s="289"/>
    </row>
    <row r="77" spans="1:8" x14ac:dyDescent="0.5">
      <c r="A77" s="35"/>
      <c r="B77" s="24"/>
      <c r="C77" s="286">
        <f t="shared" si="3"/>
        <v>200</v>
      </c>
      <c r="D77" s="287"/>
      <c r="E77" s="24" t="s">
        <v>125</v>
      </c>
      <c r="F77" s="38" t="s">
        <v>144</v>
      </c>
      <c r="G77" s="288"/>
      <c r="H77" s="289"/>
    </row>
    <row r="78" spans="1:8" x14ac:dyDescent="0.5">
      <c r="A78" s="35"/>
      <c r="B78" s="24"/>
      <c r="C78" s="286">
        <f t="shared" si="3"/>
        <v>2100</v>
      </c>
      <c r="D78" s="287"/>
      <c r="E78" s="24" t="s">
        <v>973</v>
      </c>
      <c r="F78" s="38" t="s">
        <v>146</v>
      </c>
      <c r="G78" s="288">
        <v>2100</v>
      </c>
      <c r="H78" s="289"/>
    </row>
    <row r="79" spans="1:8" x14ac:dyDescent="0.5">
      <c r="A79" s="35"/>
      <c r="B79" s="24"/>
      <c r="C79" s="286">
        <f t="shared" si="3"/>
        <v>427699</v>
      </c>
      <c r="D79" s="287"/>
      <c r="E79" s="24" t="s">
        <v>115</v>
      </c>
      <c r="F79" s="38" t="s">
        <v>140</v>
      </c>
      <c r="G79" s="288">
        <v>320000</v>
      </c>
      <c r="H79" s="289"/>
    </row>
    <row r="80" spans="1:8" x14ac:dyDescent="0.5">
      <c r="A80" s="35"/>
      <c r="B80" s="24"/>
      <c r="C80" s="286">
        <f t="shared" si="3"/>
        <v>3939.09</v>
      </c>
      <c r="D80" s="287"/>
      <c r="E80" s="24" t="s">
        <v>15</v>
      </c>
      <c r="F80" s="38" t="s">
        <v>309</v>
      </c>
      <c r="G80" s="288"/>
      <c r="H80" s="289"/>
    </row>
    <row r="81" spans="1:8" x14ac:dyDescent="0.5">
      <c r="A81" s="35"/>
      <c r="B81" s="24"/>
      <c r="C81" s="286">
        <f t="shared" si="3"/>
        <v>0</v>
      </c>
      <c r="D81" s="287"/>
      <c r="E81" s="24" t="s">
        <v>111</v>
      </c>
      <c r="F81" s="38" t="s">
        <v>75</v>
      </c>
      <c r="G81" s="288">
        <v>0</v>
      </c>
      <c r="H81" s="289"/>
    </row>
    <row r="82" spans="1:8" x14ac:dyDescent="0.5">
      <c r="A82" s="35"/>
      <c r="B82" s="24"/>
      <c r="C82" s="286">
        <f t="shared" si="3"/>
        <v>0</v>
      </c>
      <c r="D82" s="287"/>
      <c r="E82" s="24" t="s">
        <v>92</v>
      </c>
      <c r="F82" s="38" t="s">
        <v>93</v>
      </c>
      <c r="G82" s="288"/>
      <c r="H82" s="289"/>
    </row>
    <row r="83" spans="1:8" x14ac:dyDescent="0.5">
      <c r="A83" s="35"/>
      <c r="B83" s="24"/>
      <c r="C83" s="286">
        <f t="shared" si="3"/>
        <v>0</v>
      </c>
      <c r="D83" s="287"/>
      <c r="E83" s="24" t="s">
        <v>174</v>
      </c>
      <c r="F83" s="38" t="s">
        <v>128</v>
      </c>
      <c r="G83" s="288"/>
      <c r="H83" s="289"/>
    </row>
    <row r="84" spans="1:8" x14ac:dyDescent="0.5">
      <c r="A84" s="35"/>
      <c r="B84" s="24"/>
      <c r="C84" s="290">
        <f>SUM(C64:C83)</f>
        <v>8960856.6799999997</v>
      </c>
      <c r="D84" s="291"/>
      <c r="E84" s="24"/>
      <c r="F84" s="38"/>
      <c r="G84" s="292">
        <f>SUM(G64:G83)</f>
        <v>8363615.3399999999</v>
      </c>
      <c r="H84" s="293"/>
    </row>
    <row r="85" spans="1:8" ht="24" thickBot="1" x14ac:dyDescent="0.55000000000000004">
      <c r="A85" s="35"/>
      <c r="C85" s="294">
        <f>C62+C84</f>
        <v>20270286.629999999</v>
      </c>
      <c r="D85" s="295"/>
      <c r="E85" s="218" t="s">
        <v>35</v>
      </c>
      <c r="F85" s="34"/>
      <c r="G85" s="294">
        <f>G62+G84</f>
        <v>16685144.459999999</v>
      </c>
      <c r="H85" s="295"/>
    </row>
    <row r="86" spans="1:8" ht="24" thickTop="1" x14ac:dyDescent="0.5">
      <c r="A86" s="300" t="s">
        <v>95</v>
      </c>
      <c r="B86" s="300"/>
      <c r="C86" s="300"/>
      <c r="D86" s="300"/>
      <c r="E86" s="300"/>
      <c r="F86" s="300"/>
      <c r="G86" s="300"/>
      <c r="H86" s="300"/>
    </row>
    <row r="87" spans="1:8" x14ac:dyDescent="0.5">
      <c r="A87" s="300" t="s">
        <v>147</v>
      </c>
      <c r="B87" s="300"/>
      <c r="C87" s="300"/>
      <c r="D87" s="300"/>
      <c r="E87" s="300"/>
      <c r="F87" s="300"/>
      <c r="G87" s="300"/>
      <c r="H87" s="300"/>
    </row>
    <row r="88" spans="1:8" x14ac:dyDescent="0.5">
      <c r="A88" s="20"/>
      <c r="B88" s="1"/>
      <c r="C88" s="1"/>
      <c r="D88" s="1"/>
      <c r="E88" s="1"/>
      <c r="F88" s="301" t="s">
        <v>970</v>
      </c>
      <c r="G88" s="301"/>
      <c r="H88" s="301"/>
    </row>
    <row r="89" spans="1:8" x14ac:dyDescent="0.5">
      <c r="A89" s="300" t="s">
        <v>17</v>
      </c>
      <c r="B89" s="300"/>
      <c r="C89" s="300"/>
      <c r="D89" s="300"/>
      <c r="E89" s="300"/>
      <c r="F89" s="300"/>
      <c r="G89" s="300"/>
      <c r="H89" s="300"/>
    </row>
    <row r="90" spans="1:8" ht="24" thickBot="1" x14ac:dyDescent="0.55000000000000004">
      <c r="A90" s="64"/>
      <c r="B90" s="29"/>
      <c r="C90" s="29"/>
      <c r="D90" s="29"/>
      <c r="E90" s="29"/>
      <c r="F90" s="302" t="s">
        <v>986</v>
      </c>
      <c r="G90" s="302"/>
      <c r="H90" s="302"/>
    </row>
    <row r="91" spans="1:8" ht="24" thickTop="1" x14ac:dyDescent="0.5">
      <c r="A91" s="303" t="s">
        <v>18</v>
      </c>
      <c r="B91" s="303"/>
      <c r="C91" s="303"/>
      <c r="D91" s="303"/>
      <c r="E91" s="27"/>
      <c r="F91" s="303" t="s">
        <v>19</v>
      </c>
      <c r="G91" s="303"/>
      <c r="H91" s="303"/>
    </row>
    <row r="92" spans="1:8" x14ac:dyDescent="0.5">
      <c r="A92" s="304" t="s">
        <v>20</v>
      </c>
      <c r="B92" s="305"/>
      <c r="C92" s="306" t="s">
        <v>22</v>
      </c>
      <c r="D92" s="306"/>
      <c r="E92" s="307" t="s">
        <v>0</v>
      </c>
      <c r="F92" s="113" t="s">
        <v>23</v>
      </c>
      <c r="G92" s="304" t="s">
        <v>22</v>
      </c>
      <c r="H92" s="305"/>
    </row>
    <row r="93" spans="1:8" ht="24" thickBot="1" x14ac:dyDescent="0.55000000000000004">
      <c r="A93" s="309" t="s">
        <v>21</v>
      </c>
      <c r="B93" s="310"/>
      <c r="C93" s="311" t="s">
        <v>21</v>
      </c>
      <c r="D93" s="311"/>
      <c r="E93" s="308"/>
      <c r="F93" s="114" t="s">
        <v>24</v>
      </c>
      <c r="G93" s="309" t="s">
        <v>21</v>
      </c>
      <c r="H93" s="310"/>
    </row>
    <row r="94" spans="1:8" ht="24" thickTop="1" x14ac:dyDescent="0.5">
      <c r="A94" s="19"/>
      <c r="B94" s="27"/>
      <c r="C94" s="312">
        <f>C52</f>
        <v>53744181.479999997</v>
      </c>
      <c r="D94" s="313"/>
      <c r="E94" s="14" t="s">
        <v>25</v>
      </c>
      <c r="F94" s="30"/>
      <c r="G94" s="312">
        <f>'ใบต่อ  55'!G93:H93</f>
        <v>63168176</v>
      </c>
      <c r="H94" s="313"/>
    </row>
    <row r="95" spans="1:8" x14ac:dyDescent="0.5">
      <c r="A95" s="8"/>
      <c r="B95" s="6"/>
      <c r="C95" s="298"/>
      <c r="D95" s="299"/>
      <c r="E95" s="14" t="s">
        <v>43</v>
      </c>
      <c r="F95" s="31" t="s">
        <v>71</v>
      </c>
      <c r="G95" s="298"/>
      <c r="H95" s="299"/>
    </row>
    <row r="96" spans="1:8" x14ac:dyDescent="0.5">
      <c r="A96" s="8">
        <v>3565000</v>
      </c>
      <c r="B96" s="5" t="s">
        <v>16</v>
      </c>
      <c r="C96" s="298">
        <f t="shared" ref="C96:C103" si="4">G96+C54</f>
        <v>37853.360000000001</v>
      </c>
      <c r="D96" s="299"/>
      <c r="E96" s="14" t="s">
        <v>26</v>
      </c>
      <c r="F96" s="31" t="s">
        <v>77</v>
      </c>
      <c r="G96" s="298">
        <v>21063.360000000001</v>
      </c>
      <c r="H96" s="299"/>
    </row>
    <row r="97" spans="1:10" x14ac:dyDescent="0.5">
      <c r="A97" s="8">
        <v>1135000</v>
      </c>
      <c r="B97" s="5" t="s">
        <v>16</v>
      </c>
      <c r="C97" s="298">
        <f t="shared" si="4"/>
        <v>239721</v>
      </c>
      <c r="D97" s="299"/>
      <c r="E97" s="14" t="s">
        <v>27</v>
      </c>
      <c r="F97" s="31" t="s">
        <v>78</v>
      </c>
      <c r="G97" s="298">
        <f>180+56800+1900+20+4840+360+9100+1600+12360+375</f>
        <v>87535</v>
      </c>
      <c r="H97" s="299"/>
    </row>
    <row r="98" spans="1:10" x14ac:dyDescent="0.5">
      <c r="A98" s="8">
        <v>401000</v>
      </c>
      <c r="B98" s="5" t="s">
        <v>16</v>
      </c>
      <c r="C98" s="298">
        <f t="shared" si="4"/>
        <v>107884.84</v>
      </c>
      <c r="D98" s="299"/>
      <c r="E98" s="14" t="s">
        <v>28</v>
      </c>
      <c r="F98" s="31" t="s">
        <v>79</v>
      </c>
      <c r="G98" s="298">
        <f>59884.84+3000</f>
        <v>62884.84</v>
      </c>
      <c r="H98" s="299"/>
    </row>
    <row r="99" spans="1:10" x14ac:dyDescent="0.5">
      <c r="A99" s="8">
        <v>1000</v>
      </c>
      <c r="B99" s="5" t="s">
        <v>16</v>
      </c>
      <c r="C99" s="298">
        <f t="shared" si="4"/>
        <v>0</v>
      </c>
      <c r="D99" s="299"/>
      <c r="E99" s="14" t="s">
        <v>29</v>
      </c>
      <c r="F99" s="31" t="s">
        <v>81</v>
      </c>
      <c r="G99" s="298"/>
      <c r="H99" s="299"/>
    </row>
    <row r="100" spans="1:10" x14ac:dyDescent="0.5">
      <c r="A100" s="8">
        <v>152000</v>
      </c>
      <c r="B100" s="5" t="s">
        <v>16</v>
      </c>
      <c r="C100" s="298">
        <f t="shared" si="4"/>
        <v>21846</v>
      </c>
      <c r="D100" s="299"/>
      <c r="E100" s="14" t="s">
        <v>30</v>
      </c>
      <c r="F100" s="31" t="s">
        <v>80</v>
      </c>
      <c r="G100" s="298">
        <v>13366</v>
      </c>
      <c r="H100" s="299"/>
    </row>
    <row r="101" spans="1:10" x14ac:dyDescent="0.5">
      <c r="A101" s="2">
        <v>1000</v>
      </c>
      <c r="B101" s="5"/>
      <c r="C101" s="298">
        <f t="shared" si="4"/>
        <v>0</v>
      </c>
      <c r="D101" s="299"/>
      <c r="E101" s="14" t="s">
        <v>31</v>
      </c>
      <c r="F101" s="31" t="s">
        <v>82</v>
      </c>
      <c r="G101" s="298"/>
      <c r="H101" s="299"/>
    </row>
    <row r="102" spans="1:10" x14ac:dyDescent="0.5">
      <c r="A102" s="8">
        <v>54205000</v>
      </c>
      <c r="B102" s="5" t="s">
        <v>16</v>
      </c>
      <c r="C102" s="298">
        <f t="shared" si="4"/>
        <v>14611028.939999999</v>
      </c>
      <c r="D102" s="299"/>
      <c r="E102" s="14" t="s">
        <v>32</v>
      </c>
      <c r="F102" s="31" t="s">
        <v>83</v>
      </c>
      <c r="G102" s="298">
        <f>2760272.99+763782</f>
        <v>3524054.99</v>
      </c>
      <c r="H102" s="299"/>
    </row>
    <row r="103" spans="1:10" x14ac:dyDescent="0.5">
      <c r="A103" s="8">
        <v>27386000</v>
      </c>
      <c r="B103" s="5" t="s">
        <v>16</v>
      </c>
      <c r="C103" s="298">
        <f t="shared" si="4"/>
        <v>26395314</v>
      </c>
      <c r="D103" s="299"/>
      <c r="E103" s="14" t="s">
        <v>13</v>
      </c>
      <c r="F103" s="31" t="s">
        <v>84</v>
      </c>
      <c r="G103" s="298">
        <v>26395314</v>
      </c>
      <c r="H103" s="299"/>
      <c r="I103" s="298">
        <v>3360840.22</v>
      </c>
      <c r="J103" s="299"/>
    </row>
    <row r="104" spans="1:10" ht="24" thickBot="1" x14ac:dyDescent="0.55000000000000004">
      <c r="A104" s="69">
        <f>SUM(A96:A103)</f>
        <v>86846000</v>
      </c>
      <c r="B104" s="65" t="s">
        <v>16</v>
      </c>
      <c r="C104" s="294">
        <f>SUM(C96:C103)</f>
        <v>41413648.140000001</v>
      </c>
      <c r="D104" s="295"/>
      <c r="F104" s="31"/>
      <c r="G104" s="294">
        <f>SUM(G96:G103)</f>
        <v>30104218.190000001</v>
      </c>
      <c r="H104" s="295"/>
      <c r="I104" s="21">
        <f>G104-30101218.19</f>
        <v>3000</v>
      </c>
    </row>
    <row r="105" spans="1:10" ht="24" thickTop="1" x14ac:dyDescent="0.5">
      <c r="A105" s="35"/>
      <c r="B105" s="24"/>
      <c r="C105" s="296"/>
      <c r="D105" s="297"/>
      <c r="E105" s="47" t="s">
        <v>134</v>
      </c>
      <c r="F105" s="38"/>
      <c r="G105" s="296">
        <v>0</v>
      </c>
      <c r="H105" s="297"/>
    </row>
    <row r="106" spans="1:10" x14ac:dyDescent="0.5">
      <c r="A106" s="35"/>
      <c r="B106" s="24"/>
      <c r="C106" s="286">
        <f>C64+G106</f>
        <v>7060200</v>
      </c>
      <c r="D106" s="287"/>
      <c r="E106" s="24" t="s">
        <v>155</v>
      </c>
      <c r="F106" s="38"/>
      <c r="G106" s="286">
        <v>0</v>
      </c>
      <c r="H106" s="287"/>
    </row>
    <row r="107" spans="1:10" x14ac:dyDescent="0.5">
      <c r="A107" s="35"/>
      <c r="B107" s="24"/>
      <c r="C107" s="286">
        <f>C65+G107</f>
        <v>573000</v>
      </c>
      <c r="D107" s="287"/>
      <c r="E107" s="24" t="s">
        <v>156</v>
      </c>
      <c r="F107" s="38"/>
      <c r="G107" s="286">
        <v>573000</v>
      </c>
      <c r="H107" s="287"/>
    </row>
    <row r="108" spans="1:10" x14ac:dyDescent="0.5">
      <c r="A108" s="35"/>
      <c r="B108" s="24"/>
      <c r="C108" s="286"/>
      <c r="D108" s="287"/>
      <c r="E108" s="47" t="s">
        <v>135</v>
      </c>
      <c r="F108" s="38"/>
      <c r="G108" s="288"/>
      <c r="H108" s="289"/>
    </row>
    <row r="109" spans="1:10" x14ac:dyDescent="0.5">
      <c r="A109" s="35"/>
      <c r="B109" s="24"/>
      <c r="C109" s="286">
        <f>C67</f>
        <v>0</v>
      </c>
      <c r="D109" s="287"/>
      <c r="E109" s="24" t="s">
        <v>157</v>
      </c>
      <c r="F109" s="38"/>
      <c r="G109" s="286"/>
      <c r="H109" s="287"/>
    </row>
    <row r="110" spans="1:10" x14ac:dyDescent="0.5">
      <c r="A110" s="35"/>
      <c r="B110" s="24"/>
      <c r="C110" s="286"/>
      <c r="D110" s="287"/>
      <c r="E110" s="24" t="s">
        <v>158</v>
      </c>
      <c r="F110" s="38"/>
      <c r="G110" s="286"/>
      <c r="H110" s="287"/>
    </row>
    <row r="111" spans="1:10" x14ac:dyDescent="0.5">
      <c r="A111" s="35"/>
      <c r="B111" s="24"/>
      <c r="C111" s="286">
        <f>G111</f>
        <v>0</v>
      </c>
      <c r="D111" s="287"/>
      <c r="E111" s="24" t="s">
        <v>160</v>
      </c>
      <c r="F111" s="38"/>
      <c r="G111" s="286"/>
      <c r="H111" s="287"/>
    </row>
    <row r="112" spans="1:10" x14ac:dyDescent="0.5">
      <c r="A112" s="35"/>
      <c r="B112" s="24"/>
      <c r="C112" s="286"/>
      <c r="D112" s="287"/>
      <c r="E112" s="24" t="s">
        <v>159</v>
      </c>
      <c r="F112" s="38"/>
      <c r="G112" s="286"/>
      <c r="H112" s="287"/>
    </row>
    <row r="113" spans="1:8" x14ac:dyDescent="0.5">
      <c r="A113" s="35"/>
      <c r="B113" s="24"/>
      <c r="C113" s="286">
        <f>C70</f>
        <v>489780</v>
      </c>
      <c r="D113" s="287"/>
      <c r="E113" s="24" t="s">
        <v>286</v>
      </c>
      <c r="F113" s="38"/>
      <c r="G113" s="286"/>
      <c r="H113" s="287"/>
    </row>
    <row r="114" spans="1:8" x14ac:dyDescent="0.5">
      <c r="A114" s="35"/>
      <c r="B114" s="24"/>
      <c r="C114" s="286">
        <f>G114+C71</f>
        <v>2574360.87</v>
      </c>
      <c r="D114" s="287"/>
      <c r="E114" s="24" t="s">
        <v>33</v>
      </c>
      <c r="F114" s="38" t="s">
        <v>74</v>
      </c>
      <c r="G114" s="288">
        <f>'รายละเอียด(หมายเหตุ2)'!D92</f>
        <v>1647604.28</v>
      </c>
      <c r="H114" s="289"/>
    </row>
    <row r="115" spans="1:8" x14ac:dyDescent="0.5">
      <c r="A115" s="35"/>
      <c r="B115" s="24"/>
      <c r="C115" s="286">
        <f>C72+G115</f>
        <v>70674</v>
      </c>
      <c r="D115" s="287"/>
      <c r="E115" s="24" t="s">
        <v>34</v>
      </c>
      <c r="F115" s="38" t="s">
        <v>61</v>
      </c>
      <c r="G115" s="288">
        <f>3650+3772+3772+10812</f>
        <v>22006</v>
      </c>
      <c r="H115" s="289"/>
    </row>
    <row r="116" spans="1:8" x14ac:dyDescent="0.5">
      <c r="A116" s="35"/>
      <c r="B116" s="24"/>
      <c r="C116" s="286">
        <f t="shared" ref="C116:C126" si="5">C73+G116</f>
        <v>3579900</v>
      </c>
      <c r="D116" s="287"/>
      <c r="E116" s="24" t="s">
        <v>56</v>
      </c>
      <c r="F116" s="38" t="s">
        <v>60</v>
      </c>
      <c r="G116" s="288">
        <f>1131600+151500+1127700+2000+3200+150000+151500+20110+6890+19500+16800+13100+6210+300+16800+761290</f>
        <v>3578500</v>
      </c>
      <c r="H116" s="289"/>
    </row>
    <row r="117" spans="1:8" x14ac:dyDescent="0.5">
      <c r="A117" s="35"/>
      <c r="B117" s="24"/>
      <c r="C117" s="286">
        <f t="shared" si="5"/>
        <v>0</v>
      </c>
      <c r="D117" s="287"/>
      <c r="E117" s="24" t="s">
        <v>137</v>
      </c>
      <c r="F117" s="38" t="s">
        <v>141</v>
      </c>
      <c r="G117" s="288"/>
      <c r="H117" s="289"/>
    </row>
    <row r="118" spans="1:8" x14ac:dyDescent="0.5">
      <c r="A118" s="35"/>
      <c r="B118" s="24"/>
      <c r="C118" s="286">
        <f t="shared" si="5"/>
        <v>61520</v>
      </c>
      <c r="D118" s="287"/>
      <c r="E118" s="24" t="s">
        <v>102</v>
      </c>
      <c r="F118" s="38" t="s">
        <v>142</v>
      </c>
      <c r="G118" s="288">
        <v>61520</v>
      </c>
      <c r="H118" s="289"/>
    </row>
    <row r="119" spans="1:8" x14ac:dyDescent="0.5">
      <c r="A119" s="35"/>
      <c r="B119" s="24"/>
      <c r="C119" s="286">
        <f t="shared" si="5"/>
        <v>114</v>
      </c>
      <c r="D119" s="287"/>
      <c r="E119" s="24" t="s">
        <v>138</v>
      </c>
      <c r="F119" s="38" t="s">
        <v>143</v>
      </c>
      <c r="G119" s="288"/>
      <c r="H119" s="289"/>
    </row>
    <row r="120" spans="1:8" x14ac:dyDescent="0.5">
      <c r="A120" s="35"/>
      <c r="B120" s="24"/>
      <c r="C120" s="286">
        <f t="shared" si="5"/>
        <v>800</v>
      </c>
      <c r="D120" s="287"/>
      <c r="E120" s="24" t="s">
        <v>125</v>
      </c>
      <c r="F120" s="38" t="s">
        <v>144</v>
      </c>
      <c r="G120" s="288">
        <v>600</v>
      </c>
      <c r="H120" s="289"/>
    </row>
    <row r="121" spans="1:8" x14ac:dyDescent="0.5">
      <c r="A121" s="35"/>
      <c r="B121" s="24"/>
      <c r="C121" s="286">
        <f t="shared" si="5"/>
        <v>2100</v>
      </c>
      <c r="D121" s="287"/>
      <c r="E121" s="24" t="s">
        <v>139</v>
      </c>
      <c r="F121" s="38" t="s">
        <v>146</v>
      </c>
      <c r="G121" s="288"/>
      <c r="H121" s="289"/>
    </row>
    <row r="122" spans="1:8" x14ac:dyDescent="0.5">
      <c r="A122" s="35"/>
      <c r="B122" s="24"/>
      <c r="C122" s="286">
        <f>C79+G122</f>
        <v>569139</v>
      </c>
      <c r="D122" s="287"/>
      <c r="E122" s="24" t="s">
        <v>115</v>
      </c>
      <c r="F122" s="38" t="s">
        <v>140</v>
      </c>
      <c r="G122" s="288">
        <v>141440</v>
      </c>
      <c r="H122" s="289"/>
    </row>
    <row r="123" spans="1:8" x14ac:dyDescent="0.5">
      <c r="A123" s="35"/>
      <c r="B123" s="24"/>
      <c r="C123" s="286">
        <f t="shared" si="5"/>
        <v>3939.09</v>
      </c>
      <c r="D123" s="287"/>
      <c r="E123" s="24" t="s">
        <v>180</v>
      </c>
      <c r="F123" s="38"/>
      <c r="G123" s="314">
        <v>0</v>
      </c>
      <c r="H123" s="315"/>
    </row>
    <row r="124" spans="1:8" x14ac:dyDescent="0.5">
      <c r="A124" s="35"/>
      <c r="B124" s="24"/>
      <c r="C124" s="286">
        <f t="shared" si="5"/>
        <v>0</v>
      </c>
      <c r="D124" s="287"/>
      <c r="E124" s="24" t="s">
        <v>111</v>
      </c>
      <c r="F124" s="38" t="s">
        <v>75</v>
      </c>
      <c r="G124" s="288">
        <v>0</v>
      </c>
      <c r="H124" s="289"/>
    </row>
    <row r="125" spans="1:8" x14ac:dyDescent="0.5">
      <c r="A125" s="35"/>
      <c r="B125" s="24"/>
      <c r="C125" s="286">
        <f t="shared" si="5"/>
        <v>0</v>
      </c>
      <c r="D125" s="287"/>
      <c r="E125" s="24" t="s">
        <v>92</v>
      </c>
      <c r="F125" s="38" t="s">
        <v>93</v>
      </c>
      <c r="G125" s="288"/>
      <c r="H125" s="289"/>
    </row>
    <row r="126" spans="1:8" x14ac:dyDescent="0.5">
      <c r="A126" s="35"/>
      <c r="B126" s="24"/>
      <c r="C126" s="286">
        <f t="shared" si="5"/>
        <v>1194.8399999999999</v>
      </c>
      <c r="D126" s="287"/>
      <c r="E126" s="24" t="s">
        <v>15</v>
      </c>
      <c r="F126" s="38" t="s">
        <v>309</v>
      </c>
      <c r="G126" s="288">
        <v>1194.8399999999999</v>
      </c>
      <c r="H126" s="289"/>
    </row>
    <row r="127" spans="1:8" x14ac:dyDescent="0.5">
      <c r="A127" s="35"/>
      <c r="B127" s="24"/>
      <c r="C127" s="286"/>
      <c r="D127" s="287"/>
      <c r="E127" s="24" t="s">
        <v>174</v>
      </c>
      <c r="F127" s="38" t="s">
        <v>128</v>
      </c>
      <c r="G127" s="288">
        <v>0</v>
      </c>
      <c r="H127" s="289"/>
    </row>
    <row r="128" spans="1:8" x14ac:dyDescent="0.5">
      <c r="A128" s="35"/>
      <c r="B128" s="24"/>
      <c r="C128" s="290">
        <f>SUM(C106:C127)</f>
        <v>14986721.800000001</v>
      </c>
      <c r="D128" s="291"/>
      <c r="E128" s="24"/>
      <c r="F128" s="38"/>
      <c r="G128" s="292">
        <f>SUM(G106:G127)</f>
        <v>6025865.1200000001</v>
      </c>
      <c r="H128" s="293"/>
    </row>
    <row r="129" spans="1:9" ht="24" thickBot="1" x14ac:dyDescent="0.55000000000000004">
      <c r="A129" s="35"/>
      <c r="C129" s="294">
        <f>C104+C128</f>
        <v>56400369.939999998</v>
      </c>
      <c r="D129" s="295"/>
      <c r="E129" s="112" t="s">
        <v>35</v>
      </c>
      <c r="F129" s="34"/>
      <c r="G129" s="294">
        <f>G104+G128</f>
        <v>36130083.310000002</v>
      </c>
      <c r="H129" s="295"/>
    </row>
    <row r="130" spans="1:9" ht="24" thickTop="1" x14ac:dyDescent="0.5">
      <c r="A130" s="300" t="s">
        <v>95</v>
      </c>
      <c r="B130" s="300"/>
      <c r="C130" s="300"/>
      <c r="D130" s="300"/>
      <c r="E130" s="300"/>
      <c r="F130" s="300"/>
      <c r="G130" s="300"/>
      <c r="H130" s="300"/>
    </row>
    <row r="131" spans="1:9" x14ac:dyDescent="0.5">
      <c r="A131" s="300" t="s">
        <v>147</v>
      </c>
      <c r="B131" s="300"/>
      <c r="C131" s="300"/>
      <c r="D131" s="300"/>
      <c r="E131" s="300"/>
      <c r="F131" s="300"/>
      <c r="G131" s="300"/>
      <c r="H131" s="300"/>
    </row>
    <row r="132" spans="1:9" x14ac:dyDescent="0.5">
      <c r="A132" s="20"/>
      <c r="B132" s="1"/>
      <c r="C132" s="1"/>
      <c r="D132" s="1"/>
      <c r="E132" s="1"/>
      <c r="F132" s="301" t="s">
        <v>970</v>
      </c>
      <c r="G132" s="301"/>
      <c r="H132" s="301"/>
    </row>
    <row r="133" spans="1:9" x14ac:dyDescent="0.5">
      <c r="A133" s="300" t="s">
        <v>17</v>
      </c>
      <c r="B133" s="300"/>
      <c r="C133" s="300"/>
      <c r="D133" s="300"/>
      <c r="E133" s="300"/>
      <c r="F133" s="300"/>
      <c r="G133" s="300"/>
      <c r="H133" s="300"/>
    </row>
    <row r="134" spans="1:9" ht="24" thickBot="1" x14ac:dyDescent="0.55000000000000004">
      <c r="A134" s="64"/>
      <c r="B134" s="29"/>
      <c r="C134" s="29"/>
      <c r="D134" s="29"/>
      <c r="E134" s="29"/>
      <c r="F134" s="302" t="s">
        <v>992</v>
      </c>
      <c r="G134" s="302"/>
      <c r="H134" s="302"/>
    </row>
    <row r="135" spans="1:9" ht="24" thickTop="1" x14ac:dyDescent="0.5">
      <c r="A135" s="303" t="s">
        <v>18</v>
      </c>
      <c r="B135" s="303"/>
      <c r="C135" s="303"/>
      <c r="D135" s="303"/>
      <c r="E135" s="27"/>
      <c r="F135" s="303" t="s">
        <v>19</v>
      </c>
      <c r="G135" s="303"/>
      <c r="H135" s="303"/>
    </row>
    <row r="136" spans="1:9" x14ac:dyDescent="0.5">
      <c r="A136" s="304" t="s">
        <v>20</v>
      </c>
      <c r="B136" s="305"/>
      <c r="C136" s="306" t="s">
        <v>22</v>
      </c>
      <c r="D136" s="306"/>
      <c r="E136" s="307" t="s">
        <v>0</v>
      </c>
      <c r="F136" s="240" t="s">
        <v>23</v>
      </c>
      <c r="G136" s="304" t="s">
        <v>22</v>
      </c>
      <c r="H136" s="305"/>
    </row>
    <row r="137" spans="1:9" ht="24" thickBot="1" x14ac:dyDescent="0.55000000000000004">
      <c r="A137" s="309" t="s">
        <v>21</v>
      </c>
      <c r="B137" s="310"/>
      <c r="C137" s="311" t="s">
        <v>21</v>
      </c>
      <c r="D137" s="311"/>
      <c r="E137" s="308"/>
      <c r="F137" s="241" t="s">
        <v>24</v>
      </c>
      <c r="G137" s="309" t="s">
        <v>21</v>
      </c>
      <c r="H137" s="310"/>
    </row>
    <row r="138" spans="1:9" ht="24" thickTop="1" x14ac:dyDescent="0.5">
      <c r="A138" s="19"/>
      <c r="B138" s="27"/>
      <c r="C138" s="312">
        <f>C94</f>
        <v>53744181.479999997</v>
      </c>
      <c r="D138" s="313"/>
      <c r="E138" s="14" t="s">
        <v>25</v>
      </c>
      <c r="F138" s="30"/>
      <c r="G138" s="312">
        <f>'ใบต่อ  55'!G141:H141</f>
        <v>87572574.770000011</v>
      </c>
      <c r="H138" s="313"/>
    </row>
    <row r="139" spans="1:9" x14ac:dyDescent="0.5">
      <c r="A139" s="8"/>
      <c r="B139" s="6"/>
      <c r="C139" s="298"/>
      <c r="D139" s="299"/>
      <c r="E139" s="14" t="s">
        <v>43</v>
      </c>
      <c r="F139" s="31" t="s">
        <v>71</v>
      </c>
      <c r="G139" s="298"/>
      <c r="H139" s="299"/>
    </row>
    <row r="140" spans="1:9" x14ac:dyDescent="0.5">
      <c r="A140" s="8">
        <v>3565000</v>
      </c>
      <c r="B140" s="5" t="s">
        <v>16</v>
      </c>
      <c r="C140" s="298">
        <f>C96+G140</f>
        <v>282630.3</v>
      </c>
      <c r="D140" s="299"/>
      <c r="E140" s="14" t="s">
        <v>26</v>
      </c>
      <c r="F140" s="31" t="s">
        <v>77</v>
      </c>
      <c r="G140" s="298">
        <f>172085.12+6776.12+64796+1152-24.3-8</f>
        <v>244776.94</v>
      </c>
      <c r="H140" s="299"/>
      <c r="I140" s="14">
        <f>7024114.27+132000+3060+6136+8400</f>
        <v>7173710.2699999996</v>
      </c>
    </row>
    <row r="141" spans="1:9" x14ac:dyDescent="0.5">
      <c r="A141" s="8">
        <v>1135000</v>
      </c>
      <c r="B141" s="5" t="s">
        <v>16</v>
      </c>
      <c r="C141" s="298">
        <f t="shared" ref="C141:C147" si="6">C97+G141</f>
        <v>356855</v>
      </c>
      <c r="D141" s="299"/>
      <c r="E141" s="14" t="s">
        <v>27</v>
      </c>
      <c r="F141" s="31" t="s">
        <v>78</v>
      </c>
      <c r="G141" s="298">
        <f>240+81640+6200+1060+2610+240+3500+19900+1599+145</f>
        <v>117134</v>
      </c>
      <c r="H141" s="299"/>
      <c r="I141" s="14">
        <f>I140-14746188.27</f>
        <v>-7572478</v>
      </c>
    </row>
    <row r="142" spans="1:9" x14ac:dyDescent="0.5">
      <c r="A142" s="8">
        <v>401000</v>
      </c>
      <c r="B142" s="5" t="s">
        <v>16</v>
      </c>
      <c r="C142" s="298">
        <f t="shared" si="6"/>
        <v>219079.53</v>
      </c>
      <c r="D142" s="299"/>
      <c r="E142" s="14" t="s">
        <v>28</v>
      </c>
      <c r="F142" s="31" t="s">
        <v>79</v>
      </c>
      <c r="G142" s="298">
        <f>20200+90994.69</f>
        <v>111194.69</v>
      </c>
      <c r="H142" s="299"/>
    </row>
    <row r="143" spans="1:9" x14ac:dyDescent="0.5">
      <c r="A143" s="8">
        <v>1000</v>
      </c>
      <c r="B143" s="5" t="s">
        <v>16</v>
      </c>
      <c r="C143" s="298">
        <f t="shared" si="6"/>
        <v>0</v>
      </c>
      <c r="D143" s="299"/>
      <c r="E143" s="14" t="s">
        <v>29</v>
      </c>
      <c r="F143" s="31" t="s">
        <v>81</v>
      </c>
      <c r="G143" s="298"/>
      <c r="H143" s="299"/>
    </row>
    <row r="144" spans="1:9" x14ac:dyDescent="0.5">
      <c r="A144" s="8">
        <v>152000</v>
      </c>
      <c r="B144" s="5" t="s">
        <v>16</v>
      </c>
      <c r="C144" s="298">
        <f t="shared" si="6"/>
        <v>33764</v>
      </c>
      <c r="D144" s="299"/>
      <c r="E144" s="14" t="s">
        <v>30</v>
      </c>
      <c r="F144" s="31" t="s">
        <v>80</v>
      </c>
      <c r="G144" s="298">
        <f>600+22+568+10720+8</f>
        <v>11918</v>
      </c>
      <c r="H144" s="299"/>
    </row>
    <row r="145" spans="1:10" x14ac:dyDescent="0.5">
      <c r="A145" s="2">
        <v>1000</v>
      </c>
      <c r="B145" s="5"/>
      <c r="C145" s="298">
        <f t="shared" si="6"/>
        <v>0</v>
      </c>
      <c r="D145" s="299"/>
      <c r="E145" s="14" t="s">
        <v>31</v>
      </c>
      <c r="F145" s="31" t="s">
        <v>82</v>
      </c>
      <c r="G145" s="298"/>
      <c r="H145" s="299"/>
    </row>
    <row r="146" spans="1:10" x14ac:dyDescent="0.5">
      <c r="A146" s="8">
        <v>54205000</v>
      </c>
      <c r="B146" s="5" t="s">
        <v>16</v>
      </c>
      <c r="C146" s="298">
        <f t="shared" si="6"/>
        <v>17061152.5</v>
      </c>
      <c r="D146" s="299"/>
      <c r="E146" s="14" t="s">
        <v>32</v>
      </c>
      <c r="F146" s="31" t="s">
        <v>83</v>
      </c>
      <c r="G146" s="298">
        <f>617052.12+432395.69+526732.75+873943</f>
        <v>2450123.56</v>
      </c>
      <c r="H146" s="299"/>
    </row>
    <row r="147" spans="1:10" x14ac:dyDescent="0.5">
      <c r="A147" s="8">
        <v>27386000</v>
      </c>
      <c r="B147" s="5" t="s">
        <v>16</v>
      </c>
      <c r="C147" s="298">
        <f t="shared" si="6"/>
        <v>27000554</v>
      </c>
      <c r="D147" s="299"/>
      <c r="E147" s="14" t="s">
        <v>13</v>
      </c>
      <c r="F147" s="31" t="s">
        <v>84</v>
      </c>
      <c r="G147" s="298">
        <v>605240</v>
      </c>
      <c r="H147" s="299"/>
    </row>
    <row r="148" spans="1:10" ht="24" thickBot="1" x14ac:dyDescent="0.55000000000000004">
      <c r="A148" s="69">
        <f>SUM(A140:A147)</f>
        <v>86846000</v>
      </c>
      <c r="B148" s="65" t="s">
        <v>16</v>
      </c>
      <c r="C148" s="294">
        <f>SUM(C140:C147)</f>
        <v>44954035.329999998</v>
      </c>
      <c r="D148" s="295"/>
      <c r="F148" s="31"/>
      <c r="G148" s="294">
        <f>SUM(G140:G147)</f>
        <v>3540387.19</v>
      </c>
      <c r="H148" s="295"/>
    </row>
    <row r="149" spans="1:10" ht="24" thickTop="1" x14ac:dyDescent="0.5">
      <c r="A149" s="35"/>
      <c r="B149" s="24"/>
      <c r="C149" s="296"/>
      <c r="D149" s="297"/>
      <c r="E149" s="47" t="s">
        <v>134</v>
      </c>
      <c r="F149" s="38"/>
      <c r="G149" s="296">
        <v>0</v>
      </c>
      <c r="H149" s="297"/>
    </row>
    <row r="150" spans="1:10" x14ac:dyDescent="0.5">
      <c r="A150" s="35"/>
      <c r="B150" s="24"/>
      <c r="C150" s="286">
        <f>C106+G150</f>
        <v>7060200</v>
      </c>
      <c r="D150" s="287"/>
      <c r="E150" s="24" t="s">
        <v>155</v>
      </c>
      <c r="F150" s="38"/>
      <c r="G150" s="286">
        <v>0</v>
      </c>
      <c r="H150" s="287"/>
      <c r="I150" s="18">
        <f>G148+G150+G154+G155+G156</f>
        <v>3540387.19</v>
      </c>
      <c r="J150" s="14">
        <f>7024114.27+132000+3060+6136</f>
        <v>7165310.2699999996</v>
      </c>
    </row>
    <row r="151" spans="1:10" x14ac:dyDescent="0.5">
      <c r="A151" s="35"/>
      <c r="B151" s="24"/>
      <c r="C151" s="286">
        <f>C107+G151</f>
        <v>576500</v>
      </c>
      <c r="D151" s="287"/>
      <c r="E151" s="24" t="s">
        <v>156</v>
      </c>
      <c r="F151" s="38"/>
      <c r="G151" s="286">
        <v>3500</v>
      </c>
      <c r="H151" s="287"/>
    </row>
    <row r="152" spans="1:10" x14ac:dyDescent="0.5">
      <c r="A152" s="35"/>
      <c r="B152" s="24"/>
      <c r="C152" s="286"/>
      <c r="D152" s="287"/>
      <c r="E152" s="47" t="s">
        <v>135</v>
      </c>
      <c r="F152" s="38"/>
      <c r="G152" s="288"/>
      <c r="H152" s="289"/>
      <c r="J152" s="18">
        <f>I150-J150</f>
        <v>-3624923.0799999996</v>
      </c>
    </row>
    <row r="153" spans="1:10" x14ac:dyDescent="0.5">
      <c r="A153" s="35"/>
      <c r="B153" s="24"/>
      <c r="C153" s="286">
        <f>C111</f>
        <v>0</v>
      </c>
      <c r="D153" s="287"/>
      <c r="E153" s="24" t="s">
        <v>157</v>
      </c>
      <c r="F153" s="38"/>
      <c r="G153" s="286"/>
      <c r="H153" s="287"/>
    </row>
    <row r="154" spans="1:10" x14ac:dyDescent="0.5">
      <c r="A154" s="35"/>
      <c r="B154" s="24"/>
      <c r="C154" s="286"/>
      <c r="D154" s="287"/>
      <c r="E154" s="24" t="s">
        <v>158</v>
      </c>
      <c r="F154" s="38"/>
      <c r="G154" s="286"/>
      <c r="H154" s="287"/>
    </row>
    <row r="155" spans="1:10" x14ac:dyDescent="0.5">
      <c r="A155" s="35"/>
      <c r="B155" s="24"/>
      <c r="C155" s="286">
        <f>G155</f>
        <v>0</v>
      </c>
      <c r="D155" s="287"/>
      <c r="E155" s="24" t="s">
        <v>160</v>
      </c>
      <c r="F155" s="38"/>
      <c r="G155" s="286"/>
      <c r="H155" s="287"/>
    </row>
    <row r="156" spans="1:10" x14ac:dyDescent="0.5">
      <c r="A156" s="35"/>
      <c r="B156" s="24"/>
      <c r="C156" s="286"/>
      <c r="D156" s="287"/>
      <c r="E156" s="24" t="s">
        <v>159</v>
      </c>
      <c r="F156" s="38"/>
      <c r="G156" s="286"/>
      <c r="H156" s="287"/>
      <c r="I156" s="18">
        <f>G154+G155+G156</f>
        <v>0</v>
      </c>
    </row>
    <row r="157" spans="1:10" x14ac:dyDescent="0.5">
      <c r="A157" s="35"/>
      <c r="B157" s="24"/>
      <c r="C157" s="286">
        <f>C113</f>
        <v>489780</v>
      </c>
      <c r="D157" s="287"/>
      <c r="E157" s="24" t="s">
        <v>286</v>
      </c>
      <c r="F157" s="38"/>
      <c r="G157" s="286"/>
      <c r="H157" s="287"/>
    </row>
    <row r="158" spans="1:10" x14ac:dyDescent="0.5">
      <c r="A158" s="35"/>
      <c r="B158" s="24"/>
      <c r="C158" s="286">
        <f>C114+G158</f>
        <v>3269971.1</v>
      </c>
      <c r="D158" s="287"/>
      <c r="E158" s="24" t="s">
        <v>33</v>
      </c>
      <c r="F158" s="38" t="s">
        <v>74</v>
      </c>
      <c r="G158" s="288">
        <f>'รายละเอียด(หมายเหตุ2)'!D131</f>
        <v>695610.23</v>
      </c>
      <c r="H158" s="289"/>
    </row>
    <row r="159" spans="1:10" x14ac:dyDescent="0.5">
      <c r="A159" s="35"/>
      <c r="B159" s="24"/>
      <c r="C159" s="286">
        <f>C115+G159</f>
        <v>233430</v>
      </c>
      <c r="D159" s="287"/>
      <c r="E159" s="24" t="s">
        <v>34</v>
      </c>
      <c r="F159" s="38" t="s">
        <v>61</v>
      </c>
      <c r="G159" s="288">
        <f>24240+3560+6000+60000+5406+3550+60000</f>
        <v>162756</v>
      </c>
      <c r="H159" s="289"/>
    </row>
    <row r="160" spans="1:10" x14ac:dyDescent="0.5">
      <c r="A160" s="35"/>
      <c r="B160" s="24"/>
      <c r="C160" s="286">
        <f>C116+G160</f>
        <v>3621400</v>
      </c>
      <c r="D160" s="287"/>
      <c r="E160" s="24" t="s">
        <v>56</v>
      </c>
      <c r="F160" s="38" t="s">
        <v>60</v>
      </c>
      <c r="G160" s="288">
        <v>41500</v>
      </c>
      <c r="H160" s="289"/>
    </row>
    <row r="161" spans="1:10" x14ac:dyDescent="0.5">
      <c r="A161" s="35"/>
      <c r="B161" s="24"/>
      <c r="C161" s="286">
        <f>C117</f>
        <v>0</v>
      </c>
      <c r="D161" s="287"/>
      <c r="E161" s="24" t="s">
        <v>137</v>
      </c>
      <c r="F161" s="38" t="s">
        <v>141</v>
      </c>
      <c r="G161" s="288"/>
      <c r="H161" s="289"/>
    </row>
    <row r="162" spans="1:10" x14ac:dyDescent="0.5">
      <c r="A162" s="35"/>
      <c r="B162" s="24"/>
      <c r="C162" s="286">
        <f>C118+G162</f>
        <v>62020</v>
      </c>
      <c r="D162" s="287"/>
      <c r="E162" s="24" t="s">
        <v>102</v>
      </c>
      <c r="F162" s="38" t="s">
        <v>142</v>
      </c>
      <c r="G162" s="288">
        <v>500</v>
      </c>
      <c r="H162" s="289"/>
    </row>
    <row r="163" spans="1:10" x14ac:dyDescent="0.5">
      <c r="A163" s="35"/>
      <c r="B163" s="24"/>
      <c r="C163" s="286">
        <f>C119+G163</f>
        <v>289.75</v>
      </c>
      <c r="D163" s="287"/>
      <c r="E163" s="24" t="s">
        <v>138</v>
      </c>
      <c r="F163" s="38" t="s">
        <v>143</v>
      </c>
      <c r="G163" s="288">
        <v>175.75</v>
      </c>
      <c r="H163" s="289"/>
    </row>
    <row r="164" spans="1:10" x14ac:dyDescent="0.5">
      <c r="A164" s="35"/>
      <c r="B164" s="24"/>
      <c r="C164" s="286">
        <f>C120+G164</f>
        <v>1600</v>
      </c>
      <c r="D164" s="287"/>
      <c r="E164" s="24" t="s">
        <v>125</v>
      </c>
      <c r="F164" s="38" t="s">
        <v>144</v>
      </c>
      <c r="G164" s="288">
        <v>800</v>
      </c>
      <c r="H164" s="289"/>
    </row>
    <row r="165" spans="1:10" x14ac:dyDescent="0.5">
      <c r="A165" s="35"/>
      <c r="B165" s="24"/>
      <c r="C165" s="286">
        <f>C121</f>
        <v>2100</v>
      </c>
      <c r="D165" s="287"/>
      <c r="E165" s="24" t="s">
        <v>139</v>
      </c>
      <c r="F165" s="38" t="s">
        <v>146</v>
      </c>
      <c r="G165" s="288"/>
      <c r="H165" s="289"/>
    </row>
    <row r="166" spans="1:10" x14ac:dyDescent="0.5">
      <c r="A166" s="35"/>
      <c r="B166" s="24"/>
      <c r="C166" s="286">
        <f>C122+G166</f>
        <v>610639</v>
      </c>
      <c r="D166" s="287"/>
      <c r="E166" s="24" t="s">
        <v>115</v>
      </c>
      <c r="F166" s="38" t="s">
        <v>140</v>
      </c>
      <c r="G166" s="288">
        <v>41500</v>
      </c>
      <c r="H166" s="289"/>
    </row>
    <row r="167" spans="1:10" x14ac:dyDescent="0.5">
      <c r="A167" s="35"/>
      <c r="B167" s="24"/>
      <c r="C167" s="286">
        <f>C123</f>
        <v>3939.09</v>
      </c>
      <c r="D167" s="287"/>
      <c r="E167" s="24" t="s">
        <v>180</v>
      </c>
      <c r="F167" s="38"/>
      <c r="G167" s="314">
        <v>0</v>
      </c>
      <c r="H167" s="315"/>
    </row>
    <row r="168" spans="1:10" x14ac:dyDescent="0.5">
      <c r="A168" s="35"/>
      <c r="B168" s="24"/>
      <c r="C168" s="286">
        <f t="shared" ref="C168" si="7">C125+G168</f>
        <v>8.14</v>
      </c>
      <c r="D168" s="287"/>
      <c r="E168" s="24" t="s">
        <v>999</v>
      </c>
      <c r="F168" s="38" t="s">
        <v>1000</v>
      </c>
      <c r="G168" s="288">
        <v>8.14</v>
      </c>
      <c r="H168" s="289"/>
    </row>
    <row r="169" spans="1:10" x14ac:dyDescent="0.5">
      <c r="A169" s="35"/>
      <c r="B169" s="24"/>
      <c r="C169" s="286">
        <v>0</v>
      </c>
      <c r="D169" s="287"/>
      <c r="E169" s="24" t="s">
        <v>92</v>
      </c>
      <c r="F169" s="38" t="s">
        <v>93</v>
      </c>
      <c r="G169" s="288"/>
      <c r="H169" s="289"/>
    </row>
    <row r="170" spans="1:10" x14ac:dyDescent="0.5">
      <c r="A170" s="35"/>
      <c r="B170" s="24"/>
      <c r="C170" s="286">
        <f>C126</f>
        <v>1194.8399999999999</v>
      </c>
      <c r="D170" s="287"/>
      <c r="E170" s="24" t="s">
        <v>15</v>
      </c>
      <c r="F170" s="38" t="s">
        <v>309</v>
      </c>
      <c r="G170" s="288">
        <v>0</v>
      </c>
      <c r="H170" s="289"/>
    </row>
    <row r="171" spans="1:10" x14ac:dyDescent="0.5">
      <c r="A171" s="35"/>
      <c r="B171" s="24"/>
      <c r="C171" s="286"/>
      <c r="D171" s="287"/>
      <c r="E171" s="24" t="s">
        <v>174</v>
      </c>
      <c r="F171" s="38" t="s">
        <v>128</v>
      </c>
      <c r="G171" s="288">
        <v>0</v>
      </c>
      <c r="H171" s="289"/>
      <c r="I171" s="14">
        <f>877400+1364200+760400+536600+394400+384400+769400+1999000+495300</f>
        <v>7581100</v>
      </c>
    </row>
    <row r="172" spans="1:10" x14ac:dyDescent="0.5">
      <c r="A172" s="35"/>
      <c r="B172" s="24"/>
      <c r="C172" s="290">
        <f>SUM(C150:C171)</f>
        <v>15933071.92</v>
      </c>
      <c r="D172" s="291"/>
      <c r="E172" s="24"/>
      <c r="F172" s="38"/>
      <c r="G172" s="292">
        <f>SUM(G150:G171)</f>
        <v>946350.12</v>
      </c>
      <c r="H172" s="293"/>
      <c r="I172" s="21">
        <f>G148+G150+G154+G155+G156+G161+G171+78966.64+277.35+2000+79250</f>
        <v>3700881.18</v>
      </c>
      <c r="J172" s="21">
        <f>I172-14862386.62</f>
        <v>-11161505.439999999</v>
      </c>
    </row>
    <row r="173" spans="1:10" ht="24" thickBot="1" x14ac:dyDescent="0.55000000000000004">
      <c r="A173" s="35"/>
      <c r="C173" s="294">
        <f>C148+C172</f>
        <v>60887107.25</v>
      </c>
      <c r="D173" s="295"/>
      <c r="E173" s="239" t="s">
        <v>35</v>
      </c>
      <c r="F173" s="34"/>
      <c r="G173" s="294">
        <f>G148+G172</f>
        <v>4486737.3099999996</v>
      </c>
      <c r="H173" s="295"/>
      <c r="J173" s="14">
        <v>79250</v>
      </c>
    </row>
    <row r="174" spans="1:10" ht="24" thickTop="1" x14ac:dyDescent="0.5">
      <c r="A174" s="300" t="s">
        <v>95</v>
      </c>
      <c r="B174" s="300"/>
      <c r="C174" s="300"/>
      <c r="D174" s="300"/>
      <c r="E174" s="300"/>
      <c r="F174" s="300"/>
      <c r="G174" s="300"/>
      <c r="H174" s="300"/>
    </row>
    <row r="175" spans="1:10" x14ac:dyDescent="0.5">
      <c r="A175" s="300" t="s">
        <v>147</v>
      </c>
      <c r="B175" s="300"/>
      <c r="C175" s="300"/>
      <c r="D175" s="300"/>
      <c r="E175" s="300"/>
      <c r="F175" s="300"/>
      <c r="G175" s="300"/>
      <c r="H175" s="300"/>
    </row>
    <row r="176" spans="1:10" x14ac:dyDescent="0.5">
      <c r="A176" s="20"/>
      <c r="B176" s="1"/>
      <c r="C176" s="1"/>
      <c r="D176" s="1"/>
      <c r="E176" s="1"/>
      <c r="F176" s="301" t="s">
        <v>970</v>
      </c>
      <c r="G176" s="301"/>
      <c r="H176" s="301"/>
    </row>
    <row r="177" spans="1:9" x14ac:dyDescent="0.5">
      <c r="A177" s="300" t="s">
        <v>17</v>
      </c>
      <c r="B177" s="300"/>
      <c r="C177" s="300"/>
      <c r="D177" s="300"/>
      <c r="E177" s="300"/>
      <c r="F177" s="300"/>
      <c r="G177" s="300"/>
      <c r="H177" s="300"/>
    </row>
    <row r="178" spans="1:9" ht="24" thickBot="1" x14ac:dyDescent="0.55000000000000004">
      <c r="A178" s="64"/>
      <c r="B178" s="29"/>
      <c r="C178" s="29"/>
      <c r="D178" s="29"/>
      <c r="E178" s="29"/>
      <c r="F178" s="302" t="s">
        <v>1017</v>
      </c>
      <c r="G178" s="302"/>
      <c r="H178" s="302"/>
    </row>
    <row r="179" spans="1:9" ht="24" thickTop="1" x14ac:dyDescent="0.5">
      <c r="A179" s="303" t="s">
        <v>18</v>
      </c>
      <c r="B179" s="303"/>
      <c r="C179" s="303"/>
      <c r="D179" s="303"/>
      <c r="E179" s="27"/>
      <c r="F179" s="303" t="s">
        <v>19</v>
      </c>
      <c r="G179" s="303"/>
      <c r="H179" s="303"/>
    </row>
    <row r="180" spans="1:9" x14ac:dyDescent="0.5">
      <c r="A180" s="304" t="s">
        <v>20</v>
      </c>
      <c r="B180" s="305"/>
      <c r="C180" s="306" t="s">
        <v>22</v>
      </c>
      <c r="D180" s="306"/>
      <c r="E180" s="307" t="s">
        <v>0</v>
      </c>
      <c r="F180" s="250" t="s">
        <v>23</v>
      </c>
      <c r="G180" s="304" t="s">
        <v>22</v>
      </c>
      <c r="H180" s="305"/>
    </row>
    <row r="181" spans="1:9" ht="24" thickBot="1" x14ac:dyDescent="0.55000000000000004">
      <c r="A181" s="309" t="s">
        <v>21</v>
      </c>
      <c r="B181" s="310"/>
      <c r="C181" s="311" t="s">
        <v>21</v>
      </c>
      <c r="D181" s="311"/>
      <c r="E181" s="308"/>
      <c r="F181" s="251" t="s">
        <v>24</v>
      </c>
      <c r="G181" s="309" t="s">
        <v>21</v>
      </c>
      <c r="H181" s="310"/>
    </row>
    <row r="182" spans="1:9" ht="24" thickTop="1" x14ac:dyDescent="0.5">
      <c r="A182" s="19"/>
      <c r="B182" s="27"/>
      <c r="C182" s="312">
        <f>C138</f>
        <v>53744181.479999997</v>
      </c>
      <c r="D182" s="313"/>
      <c r="E182" s="14" t="s">
        <v>25</v>
      </c>
      <c r="F182" s="30"/>
      <c r="G182" s="312">
        <f>'ใบต่อ  55'!G191:H191</f>
        <v>78962261.270000011</v>
      </c>
      <c r="H182" s="313"/>
    </row>
    <row r="183" spans="1:9" x14ac:dyDescent="0.5">
      <c r="A183" s="8"/>
      <c r="B183" s="6"/>
      <c r="C183" s="298"/>
      <c r="D183" s="299"/>
      <c r="E183" s="14" t="s">
        <v>43</v>
      </c>
      <c r="F183" s="31" t="s">
        <v>71</v>
      </c>
      <c r="G183" s="298"/>
      <c r="H183" s="299"/>
    </row>
    <row r="184" spans="1:9" x14ac:dyDescent="0.5">
      <c r="A184" s="8">
        <v>3565000</v>
      </c>
      <c r="B184" s="5" t="s">
        <v>16</v>
      </c>
      <c r="C184" s="298">
        <f>C140+G184</f>
        <v>949684.15999999992</v>
      </c>
      <c r="D184" s="299"/>
      <c r="E184" s="14" t="s">
        <v>26</v>
      </c>
      <c r="F184" s="31" t="s">
        <v>77</v>
      </c>
      <c r="G184" s="298">
        <v>667053.86</v>
      </c>
      <c r="H184" s="299"/>
      <c r="I184" s="14">
        <f>553145+4928.86+107708+1272</f>
        <v>667053.86</v>
      </c>
    </row>
    <row r="185" spans="1:9" x14ac:dyDescent="0.5">
      <c r="A185" s="8">
        <v>1135000</v>
      </c>
      <c r="B185" s="5" t="s">
        <v>16</v>
      </c>
      <c r="C185" s="298">
        <f t="shared" ref="C185:C191" si="8">C141+G185</f>
        <v>467756</v>
      </c>
      <c r="D185" s="299"/>
      <c r="E185" s="14" t="s">
        <v>27</v>
      </c>
      <c r="F185" s="31" t="s">
        <v>78</v>
      </c>
      <c r="G185" s="298">
        <v>110901</v>
      </c>
      <c r="H185" s="299"/>
      <c r="I185" s="14">
        <f>520+77560+2800+2590+1490+490+4750+18950+1691+60</f>
        <v>110901</v>
      </c>
    </row>
    <row r="186" spans="1:9" x14ac:dyDescent="0.5">
      <c r="A186" s="8">
        <v>401000</v>
      </c>
      <c r="B186" s="5" t="s">
        <v>16</v>
      </c>
      <c r="C186" s="298">
        <f t="shared" si="8"/>
        <v>227079.53</v>
      </c>
      <c r="D186" s="299"/>
      <c r="E186" s="14" t="s">
        <v>28</v>
      </c>
      <c r="F186" s="31" t="s">
        <v>79</v>
      </c>
      <c r="G186" s="298">
        <v>8000</v>
      </c>
      <c r="H186" s="299"/>
      <c r="I186" s="14">
        <v>8000</v>
      </c>
    </row>
    <row r="187" spans="1:9" x14ac:dyDescent="0.5">
      <c r="A187" s="8">
        <v>1000</v>
      </c>
      <c r="B187" s="5" t="s">
        <v>16</v>
      </c>
      <c r="C187" s="298">
        <f t="shared" si="8"/>
        <v>0</v>
      </c>
      <c r="D187" s="299"/>
      <c r="E187" s="14" t="s">
        <v>29</v>
      </c>
      <c r="F187" s="31" t="s">
        <v>81</v>
      </c>
      <c r="G187" s="298"/>
      <c r="H187" s="299"/>
    </row>
    <row r="188" spans="1:9" x14ac:dyDescent="0.5">
      <c r="A188" s="8">
        <v>152000</v>
      </c>
      <c r="B188" s="5" t="s">
        <v>16</v>
      </c>
      <c r="C188" s="298">
        <f t="shared" si="8"/>
        <v>60581</v>
      </c>
      <c r="D188" s="299"/>
      <c r="E188" s="14" t="s">
        <v>30</v>
      </c>
      <c r="F188" s="31" t="s">
        <v>80</v>
      </c>
      <c r="G188" s="298">
        <f>26816+1</f>
        <v>26817</v>
      </c>
      <c r="H188" s="299"/>
      <c r="I188" s="14">
        <f>25500+26+568+722</f>
        <v>26816</v>
      </c>
    </row>
    <row r="189" spans="1:9" x14ac:dyDescent="0.5">
      <c r="A189" s="2">
        <v>1000</v>
      </c>
      <c r="B189" s="5"/>
      <c r="C189" s="298">
        <f t="shared" si="8"/>
        <v>0</v>
      </c>
      <c r="D189" s="299"/>
      <c r="E189" s="14" t="s">
        <v>31</v>
      </c>
      <c r="F189" s="31" t="s">
        <v>82</v>
      </c>
      <c r="G189" s="298"/>
      <c r="H189" s="299"/>
    </row>
    <row r="190" spans="1:9" x14ac:dyDescent="0.5">
      <c r="A190" s="8">
        <v>54205000</v>
      </c>
      <c r="B190" s="5" t="s">
        <v>16</v>
      </c>
      <c r="C190" s="298">
        <f t="shared" si="8"/>
        <v>26353407.579999998</v>
      </c>
      <c r="D190" s="299"/>
      <c r="E190" s="14" t="s">
        <v>32</v>
      </c>
      <c r="F190" s="31" t="s">
        <v>83</v>
      </c>
      <c r="G190" s="298">
        <v>9292255.0800000001</v>
      </c>
      <c r="H190" s="299"/>
    </row>
    <row r="191" spans="1:9" x14ac:dyDescent="0.5">
      <c r="A191" s="8">
        <v>27386000</v>
      </c>
      <c r="B191" s="5" t="s">
        <v>16</v>
      </c>
      <c r="C191" s="298">
        <f t="shared" si="8"/>
        <v>27182285</v>
      </c>
      <c r="D191" s="299"/>
      <c r="E191" s="14" t="s">
        <v>13</v>
      </c>
      <c r="F191" s="31" t="s">
        <v>84</v>
      </c>
      <c r="G191" s="298">
        <v>181731</v>
      </c>
      <c r="H191" s="299"/>
    </row>
    <row r="192" spans="1:9" ht="24" thickBot="1" x14ac:dyDescent="0.55000000000000004">
      <c r="A192" s="69">
        <f>SUM(A184:A191)</f>
        <v>86846000</v>
      </c>
      <c r="B192" s="65" t="s">
        <v>16</v>
      </c>
      <c r="C192" s="294">
        <f>SUM(C184:C191)</f>
        <v>55240793.269999996</v>
      </c>
      <c r="D192" s="295"/>
      <c r="F192" s="31"/>
      <c r="G192" s="294">
        <f>SUM(G184:G191)</f>
        <v>10286757.939999999</v>
      </c>
      <c r="H192" s="295"/>
    </row>
    <row r="193" spans="1:10" ht="24" thickTop="1" x14ac:dyDescent="0.5">
      <c r="A193" s="35"/>
      <c r="B193" s="24"/>
      <c r="C193" s="296"/>
      <c r="D193" s="297"/>
      <c r="E193" s="47" t="s">
        <v>134</v>
      </c>
      <c r="F193" s="38"/>
      <c r="G193" s="296">
        <v>0</v>
      </c>
      <c r="H193" s="297"/>
    </row>
    <row r="194" spans="1:10" x14ac:dyDescent="0.5">
      <c r="A194" s="35"/>
      <c r="B194" s="24"/>
      <c r="C194" s="286">
        <f>C150+G194</f>
        <v>7060200</v>
      </c>
      <c r="D194" s="287"/>
      <c r="E194" s="24" t="s">
        <v>155</v>
      </c>
      <c r="F194" s="38"/>
      <c r="G194" s="286">
        <v>0</v>
      </c>
      <c r="H194" s="287"/>
      <c r="I194" s="18">
        <f>G192+G194+G198+G199+G200</f>
        <v>10380717.939999999</v>
      </c>
      <c r="J194" s="14">
        <f>7024114.27+132000+3060+6136</f>
        <v>7165310.2699999996</v>
      </c>
    </row>
    <row r="195" spans="1:10" x14ac:dyDescent="0.5">
      <c r="A195" s="35"/>
      <c r="B195" s="24"/>
      <c r="C195" s="286">
        <f t="shared" ref="C195:C215" si="9">C151+G195</f>
        <v>1149500</v>
      </c>
      <c r="D195" s="287"/>
      <c r="E195" s="24" t="s">
        <v>156</v>
      </c>
      <c r="F195" s="38"/>
      <c r="G195" s="286">
        <v>573000</v>
      </c>
      <c r="H195" s="287"/>
    </row>
    <row r="196" spans="1:10" x14ac:dyDescent="0.5">
      <c r="A196" s="35"/>
      <c r="B196" s="24"/>
      <c r="C196" s="286">
        <f t="shared" si="9"/>
        <v>0</v>
      </c>
      <c r="D196" s="287"/>
      <c r="E196" s="47" t="s">
        <v>135</v>
      </c>
      <c r="F196" s="38"/>
      <c r="G196" s="288"/>
      <c r="H196" s="289"/>
      <c r="J196" s="18">
        <f>I194-J194</f>
        <v>3215407.67</v>
      </c>
    </row>
    <row r="197" spans="1:10" x14ac:dyDescent="0.5">
      <c r="A197" s="35"/>
      <c r="B197" s="24"/>
      <c r="C197" s="286">
        <f t="shared" si="9"/>
        <v>75000</v>
      </c>
      <c r="D197" s="287"/>
      <c r="E197" s="24" t="s">
        <v>157</v>
      </c>
      <c r="F197" s="38"/>
      <c r="G197" s="286">
        <f>15000*5</f>
        <v>75000</v>
      </c>
      <c r="H197" s="287"/>
    </row>
    <row r="198" spans="1:10" x14ac:dyDescent="0.5">
      <c r="A198" s="35"/>
      <c r="B198" s="24"/>
      <c r="C198" s="286">
        <f t="shared" si="9"/>
        <v>90000</v>
      </c>
      <c r="D198" s="287"/>
      <c r="E198" s="24" t="s">
        <v>158</v>
      </c>
      <c r="F198" s="38"/>
      <c r="G198" s="286">
        <f>9000*2*5</f>
        <v>90000</v>
      </c>
      <c r="H198" s="287"/>
      <c r="I198" s="21">
        <f>G197+G198</f>
        <v>165000</v>
      </c>
    </row>
    <row r="199" spans="1:10" x14ac:dyDescent="0.5">
      <c r="A199" s="35"/>
      <c r="B199" s="24"/>
      <c r="C199" s="286">
        <f t="shared" si="9"/>
        <v>0</v>
      </c>
      <c r="D199" s="287"/>
      <c r="E199" s="24" t="s">
        <v>160</v>
      </c>
      <c r="F199" s="38"/>
      <c r="G199" s="286"/>
      <c r="H199" s="287"/>
    </row>
    <row r="200" spans="1:10" x14ac:dyDescent="0.5">
      <c r="A200" s="35"/>
      <c r="B200" s="24"/>
      <c r="C200" s="286">
        <f t="shared" si="9"/>
        <v>3960</v>
      </c>
      <c r="D200" s="287"/>
      <c r="E200" s="24" t="s">
        <v>159</v>
      </c>
      <c r="F200" s="38"/>
      <c r="G200" s="286">
        <f>2160+1800</f>
        <v>3960</v>
      </c>
      <c r="H200" s="287"/>
      <c r="I200" s="18">
        <f>G198+G199+G200</f>
        <v>93960</v>
      </c>
    </row>
    <row r="201" spans="1:10" x14ac:dyDescent="0.5">
      <c r="A201" s="35"/>
      <c r="B201" s="24"/>
      <c r="C201" s="286">
        <f t="shared" si="9"/>
        <v>489780</v>
      </c>
      <c r="D201" s="287"/>
      <c r="E201" s="24" t="s">
        <v>286</v>
      </c>
      <c r="F201" s="38"/>
      <c r="G201" s="286"/>
      <c r="H201" s="287"/>
    </row>
    <row r="202" spans="1:10" x14ac:dyDescent="0.5">
      <c r="A202" s="35"/>
      <c r="B202" s="24"/>
      <c r="C202" s="286">
        <f t="shared" si="9"/>
        <v>3873783.42</v>
      </c>
      <c r="D202" s="287"/>
      <c r="E202" s="24" t="s">
        <v>33</v>
      </c>
      <c r="F202" s="38" t="s">
        <v>74</v>
      </c>
      <c r="G202" s="288">
        <f>'รายละเอียด(หมายเหตุ2)'!D168</f>
        <v>603812.31999999995</v>
      </c>
      <c r="H202" s="289"/>
    </row>
    <row r="203" spans="1:10" x14ac:dyDescent="0.5">
      <c r="A203" s="35"/>
      <c r="B203" s="24"/>
      <c r="C203" s="286">
        <f t="shared" si="9"/>
        <v>277088</v>
      </c>
      <c r="D203" s="287"/>
      <c r="E203" s="24" t="s">
        <v>34</v>
      </c>
      <c r="F203" s="38" t="s">
        <v>61</v>
      </c>
      <c r="G203" s="288">
        <f>7000+4046+7000+4046+3006+18560</f>
        <v>43658</v>
      </c>
      <c r="H203" s="289"/>
    </row>
    <row r="204" spans="1:10" x14ac:dyDescent="0.5">
      <c r="A204" s="35"/>
      <c r="B204" s="24"/>
      <c r="C204" s="286">
        <f t="shared" si="9"/>
        <v>3789460</v>
      </c>
      <c r="D204" s="287"/>
      <c r="E204" s="24" t="s">
        <v>56</v>
      </c>
      <c r="F204" s="38" t="s">
        <v>60</v>
      </c>
      <c r="G204" s="288">
        <f>15000*5+18000*5+720+720+720+900</f>
        <v>168060</v>
      </c>
      <c r="H204" s="289"/>
    </row>
    <row r="205" spans="1:10" x14ac:dyDescent="0.5">
      <c r="A205" s="35"/>
      <c r="B205" s="24"/>
      <c r="C205" s="286">
        <f t="shared" si="9"/>
        <v>0</v>
      </c>
      <c r="D205" s="287"/>
      <c r="E205" s="24" t="s">
        <v>137</v>
      </c>
      <c r="F205" s="38" t="s">
        <v>141</v>
      </c>
      <c r="G205" s="288"/>
      <c r="H205" s="289"/>
    </row>
    <row r="206" spans="1:10" x14ac:dyDescent="0.5">
      <c r="A206" s="35"/>
      <c r="B206" s="24"/>
      <c r="C206" s="286">
        <f t="shared" si="9"/>
        <v>62020</v>
      </c>
      <c r="D206" s="287"/>
      <c r="E206" s="24" t="s">
        <v>102</v>
      </c>
      <c r="F206" s="38" t="s">
        <v>142</v>
      </c>
      <c r="G206" s="288">
        <v>0</v>
      </c>
      <c r="H206" s="289"/>
    </row>
    <row r="207" spans="1:10" x14ac:dyDescent="0.5">
      <c r="A207" s="35"/>
      <c r="B207" s="24"/>
      <c r="C207" s="286">
        <f t="shared" si="9"/>
        <v>433.2</v>
      </c>
      <c r="D207" s="287"/>
      <c r="E207" s="24" t="s">
        <v>138</v>
      </c>
      <c r="F207" s="38" t="s">
        <v>143</v>
      </c>
      <c r="G207" s="288">
        <v>143.44999999999999</v>
      </c>
      <c r="H207" s="289"/>
    </row>
    <row r="208" spans="1:10" x14ac:dyDescent="0.5">
      <c r="A208" s="35"/>
      <c r="B208" s="24"/>
      <c r="C208" s="286">
        <f t="shared" si="9"/>
        <v>1800</v>
      </c>
      <c r="D208" s="287"/>
      <c r="E208" s="24" t="s">
        <v>125</v>
      </c>
      <c r="F208" s="38" t="s">
        <v>144</v>
      </c>
      <c r="G208" s="288">
        <v>200</v>
      </c>
      <c r="H208" s="289"/>
    </row>
    <row r="209" spans="1:10" x14ac:dyDescent="0.5">
      <c r="A209" s="35"/>
      <c r="B209" s="24"/>
      <c r="C209" s="286">
        <f t="shared" si="9"/>
        <v>2100</v>
      </c>
      <c r="D209" s="287"/>
      <c r="E209" s="24" t="s">
        <v>139</v>
      </c>
      <c r="F209" s="38" t="s">
        <v>146</v>
      </c>
      <c r="G209" s="288"/>
      <c r="H209" s="289"/>
    </row>
    <row r="210" spans="1:10" x14ac:dyDescent="0.5">
      <c r="A210" s="35"/>
      <c r="B210" s="24"/>
      <c r="C210" s="286">
        <f t="shared" si="9"/>
        <v>610639</v>
      </c>
      <c r="D210" s="287"/>
      <c r="E210" s="24" t="s">
        <v>115</v>
      </c>
      <c r="F210" s="38" t="s">
        <v>140</v>
      </c>
      <c r="G210" s="288">
        <v>0</v>
      </c>
      <c r="H210" s="289"/>
    </row>
    <row r="211" spans="1:10" x14ac:dyDescent="0.5">
      <c r="A211" s="35"/>
      <c r="B211" s="24"/>
      <c r="C211" s="286">
        <f t="shared" si="9"/>
        <v>3939.09</v>
      </c>
      <c r="D211" s="287"/>
      <c r="E211" s="24" t="s">
        <v>180</v>
      </c>
      <c r="F211" s="38"/>
      <c r="G211" s="314">
        <v>0</v>
      </c>
      <c r="H211" s="315"/>
    </row>
    <row r="212" spans="1:10" x14ac:dyDescent="0.5">
      <c r="A212" s="35"/>
      <c r="B212" s="24"/>
      <c r="C212" s="286">
        <f t="shared" si="9"/>
        <v>8.14</v>
      </c>
      <c r="D212" s="287"/>
      <c r="E212" s="24" t="s">
        <v>999</v>
      </c>
      <c r="F212" s="38" t="s">
        <v>1000</v>
      </c>
      <c r="G212" s="288">
        <v>0</v>
      </c>
      <c r="H212" s="289"/>
    </row>
    <row r="213" spans="1:10" x14ac:dyDescent="0.5">
      <c r="A213" s="35"/>
      <c r="B213" s="24"/>
      <c r="C213" s="286">
        <f t="shared" si="9"/>
        <v>0</v>
      </c>
      <c r="D213" s="287"/>
      <c r="E213" s="24" t="s">
        <v>92</v>
      </c>
      <c r="F213" s="38" t="s">
        <v>93</v>
      </c>
      <c r="G213" s="288"/>
      <c r="H213" s="289"/>
    </row>
    <row r="214" spans="1:10" x14ac:dyDescent="0.5">
      <c r="A214" s="35"/>
      <c r="B214" s="24"/>
      <c r="C214" s="286">
        <f t="shared" si="9"/>
        <v>1194.8399999999999</v>
      </c>
      <c r="D214" s="287"/>
      <c r="E214" s="24" t="s">
        <v>15</v>
      </c>
      <c r="F214" s="38" t="s">
        <v>309</v>
      </c>
      <c r="G214" s="288">
        <v>0</v>
      </c>
      <c r="H214" s="289"/>
    </row>
    <row r="215" spans="1:10" x14ac:dyDescent="0.5">
      <c r="A215" s="35"/>
      <c r="B215" s="24"/>
      <c r="C215" s="286">
        <f t="shared" si="9"/>
        <v>0</v>
      </c>
      <c r="D215" s="287"/>
      <c r="E215" s="24" t="s">
        <v>174</v>
      </c>
      <c r="F215" s="38" t="s">
        <v>128</v>
      </c>
      <c r="G215" s="288">
        <v>0</v>
      </c>
      <c r="H215" s="289"/>
      <c r="I215" s="14">
        <f>877400+1364200+760400+536600+394400+384400+769400+1999000+495300</f>
        <v>7581100</v>
      </c>
    </row>
    <row r="216" spans="1:10" x14ac:dyDescent="0.5">
      <c r="A216" s="35"/>
      <c r="B216" s="24"/>
      <c r="C216" s="290">
        <f>SUM(C194:C215)</f>
        <v>17490905.690000001</v>
      </c>
      <c r="D216" s="291"/>
      <c r="E216" s="24"/>
      <c r="F216" s="38"/>
      <c r="G216" s="292">
        <f>SUM(G194:G215)</f>
        <v>1557833.7699999998</v>
      </c>
      <c r="H216" s="293"/>
      <c r="I216" s="21">
        <f>G192+G194+G198+G199+G200+G205+G215+78966.64+277.35+2000+79250</f>
        <v>10541211.93</v>
      </c>
      <c r="J216" s="21">
        <f>I216-14862386.62</f>
        <v>-4321174.6899999995</v>
      </c>
    </row>
    <row r="217" spans="1:10" ht="24" thickBot="1" x14ac:dyDescent="0.55000000000000004">
      <c r="A217" s="35"/>
      <c r="C217" s="294">
        <f>C192+C216</f>
        <v>72731698.959999993</v>
      </c>
      <c r="D217" s="295"/>
      <c r="E217" s="249" t="s">
        <v>35</v>
      </c>
      <c r="F217" s="34"/>
      <c r="G217" s="294">
        <f>G192+G216</f>
        <v>11844591.709999999</v>
      </c>
      <c r="H217" s="295"/>
      <c r="J217" s="14">
        <v>79250</v>
      </c>
    </row>
    <row r="218" spans="1:10" ht="24" thickTop="1" x14ac:dyDescent="0.5">
      <c r="A218" s="300" t="s">
        <v>95</v>
      </c>
      <c r="B218" s="300"/>
      <c r="C218" s="300"/>
      <c r="D218" s="300"/>
      <c r="E218" s="300"/>
      <c r="F218" s="300"/>
      <c r="G218" s="300"/>
      <c r="H218" s="300"/>
    </row>
    <row r="219" spans="1:10" x14ac:dyDescent="0.5">
      <c r="A219" s="300" t="s">
        <v>147</v>
      </c>
      <c r="B219" s="300"/>
      <c r="C219" s="300"/>
      <c r="D219" s="300"/>
      <c r="E219" s="300"/>
      <c r="F219" s="300"/>
      <c r="G219" s="300"/>
      <c r="H219" s="300"/>
    </row>
    <row r="220" spans="1:10" x14ac:dyDescent="0.5">
      <c r="A220" s="20"/>
      <c r="B220" s="1"/>
      <c r="C220" s="1"/>
      <c r="D220" s="1"/>
      <c r="E220" s="1"/>
      <c r="F220" s="301" t="s">
        <v>173</v>
      </c>
      <c r="G220" s="301"/>
      <c r="H220" s="301"/>
    </row>
    <row r="221" spans="1:10" x14ac:dyDescent="0.5">
      <c r="A221" s="300" t="s">
        <v>17</v>
      </c>
      <c r="B221" s="300"/>
      <c r="C221" s="300"/>
      <c r="D221" s="300"/>
      <c r="E221" s="300"/>
      <c r="F221" s="300"/>
      <c r="G221" s="300"/>
      <c r="H221" s="300"/>
    </row>
    <row r="222" spans="1:10" ht="24" thickBot="1" x14ac:dyDescent="0.55000000000000004">
      <c r="A222" s="64"/>
      <c r="B222" s="29"/>
      <c r="C222" s="29"/>
      <c r="D222" s="29"/>
      <c r="E222" s="29"/>
      <c r="F222" s="302" t="s">
        <v>311</v>
      </c>
      <c r="G222" s="302"/>
      <c r="H222" s="302"/>
    </row>
    <row r="223" spans="1:10" ht="24" thickTop="1" x14ac:dyDescent="0.5">
      <c r="A223" s="303" t="s">
        <v>18</v>
      </c>
      <c r="B223" s="303"/>
      <c r="C223" s="303"/>
      <c r="D223" s="303"/>
      <c r="E223" s="27"/>
      <c r="F223" s="303" t="s">
        <v>19</v>
      </c>
      <c r="G223" s="303"/>
      <c r="H223" s="303"/>
    </row>
    <row r="224" spans="1:10" x14ac:dyDescent="0.5">
      <c r="A224" s="304" t="s">
        <v>20</v>
      </c>
      <c r="B224" s="305"/>
      <c r="C224" s="306" t="s">
        <v>22</v>
      </c>
      <c r="D224" s="306"/>
      <c r="E224" s="307" t="s">
        <v>0</v>
      </c>
      <c r="F224" s="113" t="s">
        <v>23</v>
      </c>
      <c r="G224" s="304" t="s">
        <v>22</v>
      </c>
      <c r="H224" s="305"/>
    </row>
    <row r="225" spans="1:9" ht="24" thickBot="1" x14ac:dyDescent="0.55000000000000004">
      <c r="A225" s="309" t="s">
        <v>21</v>
      </c>
      <c r="B225" s="310"/>
      <c r="C225" s="311" t="s">
        <v>21</v>
      </c>
      <c r="D225" s="311"/>
      <c r="E225" s="308"/>
      <c r="F225" s="114" t="s">
        <v>24</v>
      </c>
      <c r="G225" s="309" t="s">
        <v>21</v>
      </c>
      <c r="H225" s="310"/>
    </row>
    <row r="226" spans="1:9" ht="24" thickTop="1" x14ac:dyDescent="0.5">
      <c r="A226" s="19"/>
      <c r="B226" s="27"/>
      <c r="C226" s="312">
        <f>C182</f>
        <v>53744181.479999997</v>
      </c>
      <c r="D226" s="313"/>
      <c r="E226" s="14" t="s">
        <v>25</v>
      </c>
      <c r="F226" s="30"/>
      <c r="G226" s="312">
        <f>'ใบต่อ  55'!G242:H242</f>
        <v>0</v>
      </c>
      <c r="H226" s="313"/>
    </row>
    <row r="227" spans="1:9" x14ac:dyDescent="0.5">
      <c r="A227" s="8"/>
      <c r="B227" s="6"/>
      <c r="C227" s="298"/>
      <c r="D227" s="299"/>
      <c r="E227" s="14" t="s">
        <v>43</v>
      </c>
      <c r="F227" s="31" t="s">
        <v>71</v>
      </c>
      <c r="G227" s="298"/>
      <c r="H227" s="299"/>
    </row>
    <row r="228" spans="1:9" x14ac:dyDescent="0.5">
      <c r="A228" s="8">
        <v>3227000</v>
      </c>
      <c r="B228" s="5" t="s">
        <v>16</v>
      </c>
      <c r="C228" s="298">
        <f t="shared" ref="C228:C235" si="10">C184+G228</f>
        <v>1472835.41</v>
      </c>
      <c r="D228" s="299"/>
      <c r="E228" s="14" t="s">
        <v>26</v>
      </c>
      <c r="F228" s="31" t="s">
        <v>77</v>
      </c>
      <c r="G228" s="298">
        <v>523151.25</v>
      </c>
      <c r="H228" s="299"/>
      <c r="I228" s="14">
        <f>553145+4928.86+107708+1272</f>
        <v>667053.86</v>
      </c>
    </row>
    <row r="229" spans="1:9" x14ac:dyDescent="0.5">
      <c r="A229" s="8">
        <v>1105000</v>
      </c>
      <c r="B229" s="5" t="s">
        <v>16</v>
      </c>
      <c r="C229" s="298">
        <f t="shared" si="10"/>
        <v>575866</v>
      </c>
      <c r="D229" s="299"/>
      <c r="E229" s="14" t="s">
        <v>27</v>
      </c>
      <c r="F229" s="31" t="s">
        <v>78</v>
      </c>
      <c r="G229" s="298">
        <v>108110</v>
      </c>
      <c r="H229" s="299"/>
    </row>
    <row r="230" spans="1:9" x14ac:dyDescent="0.5">
      <c r="A230" s="8">
        <v>151000</v>
      </c>
      <c r="B230" s="5" t="s">
        <v>16</v>
      </c>
      <c r="C230" s="298">
        <f t="shared" si="10"/>
        <v>242079.53</v>
      </c>
      <c r="D230" s="299"/>
      <c r="E230" s="14" t="s">
        <v>28</v>
      </c>
      <c r="F230" s="31" t="s">
        <v>79</v>
      </c>
      <c r="G230" s="298">
        <v>15000</v>
      </c>
      <c r="H230" s="299"/>
    </row>
    <row r="231" spans="1:9" x14ac:dyDescent="0.5">
      <c r="A231" s="8">
        <v>1000</v>
      </c>
      <c r="B231" s="5" t="s">
        <v>16</v>
      </c>
      <c r="C231" s="298">
        <f t="shared" si="10"/>
        <v>0</v>
      </c>
      <c r="D231" s="299"/>
      <c r="E231" s="14" t="s">
        <v>29</v>
      </c>
      <c r="F231" s="31" t="s">
        <v>81</v>
      </c>
      <c r="G231" s="298"/>
      <c r="H231" s="299"/>
    </row>
    <row r="232" spans="1:9" x14ac:dyDescent="0.5">
      <c r="A232" s="8">
        <v>147000</v>
      </c>
      <c r="B232" s="5" t="s">
        <v>16</v>
      </c>
      <c r="C232" s="298">
        <f t="shared" si="10"/>
        <v>70211</v>
      </c>
      <c r="D232" s="299"/>
      <c r="E232" s="14" t="s">
        <v>30</v>
      </c>
      <c r="F232" s="31" t="s">
        <v>80</v>
      </c>
      <c r="G232" s="298">
        <v>9630</v>
      </c>
      <c r="H232" s="299"/>
    </row>
    <row r="233" spans="1:9" x14ac:dyDescent="0.5">
      <c r="A233" s="2">
        <v>1000</v>
      </c>
      <c r="B233" s="5"/>
      <c r="C233" s="298">
        <f t="shared" si="10"/>
        <v>0</v>
      </c>
      <c r="D233" s="299"/>
      <c r="E233" s="14" t="s">
        <v>31</v>
      </c>
      <c r="F233" s="31" t="s">
        <v>82</v>
      </c>
      <c r="G233" s="298"/>
      <c r="H233" s="299"/>
    </row>
    <row r="234" spans="1:9" x14ac:dyDescent="0.5">
      <c r="A234" s="8">
        <v>51768000</v>
      </c>
      <c r="B234" s="5" t="s">
        <v>16</v>
      </c>
      <c r="C234" s="298">
        <f t="shared" si="10"/>
        <v>28685237.959999997</v>
      </c>
      <c r="D234" s="299"/>
      <c r="E234" s="14" t="s">
        <v>32</v>
      </c>
      <c r="F234" s="31" t="s">
        <v>83</v>
      </c>
      <c r="G234" s="298">
        <v>2331830.38</v>
      </c>
      <c r="H234" s="299"/>
      <c r="I234" s="18">
        <f>C235+21092694</f>
        <v>69367673</v>
      </c>
    </row>
    <row r="235" spans="1:9" x14ac:dyDescent="0.5">
      <c r="A235" s="8">
        <v>25800000</v>
      </c>
      <c r="B235" s="5" t="s">
        <v>16</v>
      </c>
      <c r="C235" s="298">
        <f t="shared" si="10"/>
        <v>48274979</v>
      </c>
      <c r="D235" s="299"/>
      <c r="E235" s="14" t="s">
        <v>13</v>
      </c>
      <c r="F235" s="31" t="s">
        <v>84</v>
      </c>
      <c r="G235" s="298">
        <v>21092694</v>
      </c>
      <c r="H235" s="299"/>
    </row>
    <row r="236" spans="1:9" ht="24" thickBot="1" x14ac:dyDescent="0.55000000000000004">
      <c r="A236" s="69">
        <f>SUM(A228:A235)</f>
        <v>82200000</v>
      </c>
      <c r="B236" s="65" t="s">
        <v>16</v>
      </c>
      <c r="C236" s="294">
        <f>SUM(C228:C235)</f>
        <v>79321208.900000006</v>
      </c>
      <c r="D236" s="295"/>
      <c r="F236" s="31"/>
      <c r="G236" s="294">
        <f>SUM(G228:G235)</f>
        <v>24080415.629999999</v>
      </c>
      <c r="H236" s="295"/>
    </row>
    <row r="237" spans="1:9" ht="24" thickTop="1" x14ac:dyDescent="0.5">
      <c r="A237" s="35"/>
      <c r="B237" s="24"/>
      <c r="C237" s="296"/>
      <c r="D237" s="297"/>
      <c r="E237" s="47" t="s">
        <v>134</v>
      </c>
      <c r="F237" s="38"/>
      <c r="G237" s="296">
        <v>0</v>
      </c>
      <c r="H237" s="297"/>
      <c r="I237" s="18">
        <f>G236+G242+G244</f>
        <v>24099315.629999999</v>
      </c>
    </row>
    <row r="238" spans="1:9" x14ac:dyDescent="0.5">
      <c r="A238" s="35"/>
      <c r="B238" s="24"/>
      <c r="C238" s="286">
        <f t="shared" ref="C238:C261" si="11">C194+G238</f>
        <v>7060200</v>
      </c>
      <c r="D238" s="287"/>
      <c r="E238" s="24" t="s">
        <v>155</v>
      </c>
      <c r="F238" s="38"/>
      <c r="G238" s="286">
        <v>0</v>
      </c>
      <c r="H238" s="287"/>
    </row>
    <row r="239" spans="1:9" x14ac:dyDescent="0.5">
      <c r="A239" s="35"/>
      <c r="B239" s="24"/>
      <c r="C239" s="286">
        <f t="shared" si="11"/>
        <v>1149500</v>
      </c>
      <c r="D239" s="287"/>
      <c r="E239" s="24" t="s">
        <v>156</v>
      </c>
      <c r="F239" s="38"/>
      <c r="G239" s="286">
        <v>0</v>
      </c>
      <c r="H239" s="287"/>
    </row>
    <row r="240" spans="1:9" x14ac:dyDescent="0.5">
      <c r="A240" s="35"/>
      <c r="B240" s="24"/>
      <c r="C240" s="286">
        <f t="shared" si="11"/>
        <v>0</v>
      </c>
      <c r="D240" s="287"/>
      <c r="E240" s="47" t="s">
        <v>135</v>
      </c>
      <c r="F240" s="38"/>
      <c r="G240" s="288"/>
      <c r="H240" s="289"/>
    </row>
    <row r="241" spans="1:9" x14ac:dyDescent="0.5">
      <c r="A241" s="35"/>
      <c r="B241" s="24"/>
      <c r="C241" s="286">
        <f t="shared" si="11"/>
        <v>90000</v>
      </c>
      <c r="D241" s="287"/>
      <c r="E241" s="24" t="s">
        <v>157</v>
      </c>
      <c r="F241" s="38"/>
      <c r="G241" s="286">
        <v>15000</v>
      </c>
      <c r="H241" s="287"/>
      <c r="I241" s="14">
        <f>36000/6</f>
        <v>6000</v>
      </c>
    </row>
    <row r="242" spans="1:9" x14ac:dyDescent="0.5">
      <c r="A242" s="35"/>
      <c r="B242" s="24"/>
      <c r="C242" s="286">
        <f t="shared" si="11"/>
        <v>108000</v>
      </c>
      <c r="D242" s="287"/>
      <c r="E242" s="24" t="s">
        <v>158</v>
      </c>
      <c r="F242" s="38"/>
      <c r="G242" s="286">
        <f>33000-15000</f>
        <v>18000</v>
      </c>
      <c r="H242" s="287"/>
      <c r="I242" s="14">
        <f>500*3*12</f>
        <v>18000</v>
      </c>
    </row>
    <row r="243" spans="1:9" x14ac:dyDescent="0.5">
      <c r="A243" s="35"/>
      <c r="B243" s="24"/>
      <c r="C243" s="286">
        <f t="shared" si="11"/>
        <v>0</v>
      </c>
      <c r="D243" s="287"/>
      <c r="E243" s="24" t="s">
        <v>160</v>
      </c>
      <c r="F243" s="38"/>
      <c r="G243" s="286">
        <v>0</v>
      </c>
      <c r="H243" s="287"/>
    </row>
    <row r="244" spans="1:9" x14ac:dyDescent="0.5">
      <c r="A244" s="35"/>
      <c r="B244" s="24"/>
      <c r="C244" s="286">
        <f t="shared" si="11"/>
        <v>4860</v>
      </c>
      <c r="D244" s="287"/>
      <c r="E244" s="24" t="s">
        <v>159</v>
      </c>
      <c r="F244" s="38"/>
      <c r="G244" s="286">
        <f>900</f>
        <v>900</v>
      </c>
      <c r="H244" s="287"/>
    </row>
    <row r="245" spans="1:9" x14ac:dyDescent="0.5">
      <c r="A245" s="35"/>
      <c r="B245" s="24"/>
      <c r="C245" s="286">
        <f t="shared" si="11"/>
        <v>489780</v>
      </c>
      <c r="D245" s="287"/>
      <c r="E245" s="24" t="s">
        <v>286</v>
      </c>
      <c r="F245" s="38"/>
      <c r="G245" s="286">
        <v>0</v>
      </c>
      <c r="H245" s="287"/>
    </row>
    <row r="246" spans="1:9" x14ac:dyDescent="0.5">
      <c r="A246" s="35"/>
      <c r="B246" s="24"/>
      <c r="C246" s="286">
        <f t="shared" si="11"/>
        <v>3873783.42</v>
      </c>
      <c r="D246" s="287"/>
      <c r="E246" s="24" t="s">
        <v>290</v>
      </c>
      <c r="F246" s="38"/>
      <c r="G246" s="286">
        <v>0</v>
      </c>
      <c r="H246" s="287"/>
    </row>
    <row r="247" spans="1:9" x14ac:dyDescent="0.5">
      <c r="A247" s="35"/>
      <c r="B247" s="24"/>
      <c r="C247" s="286">
        <f t="shared" si="11"/>
        <v>277088</v>
      </c>
      <c r="D247" s="287"/>
      <c r="E247" s="24" t="s">
        <v>291</v>
      </c>
      <c r="F247" s="38"/>
      <c r="G247" s="286">
        <v>0</v>
      </c>
      <c r="H247" s="287"/>
    </row>
    <row r="248" spans="1:9" x14ac:dyDescent="0.5">
      <c r="A248" s="35"/>
      <c r="B248" s="24"/>
      <c r="C248" s="286" t="e">
        <f t="shared" si="11"/>
        <v>#REF!</v>
      </c>
      <c r="D248" s="287"/>
      <c r="E248" s="24" t="s">
        <v>33</v>
      </c>
      <c r="F248" s="38" t="s">
        <v>74</v>
      </c>
      <c r="G248" s="288" t="e">
        <f>'รายละเอียด(หมายเหตุ2)'!#REF!</f>
        <v>#REF!</v>
      </c>
      <c r="H248" s="289"/>
    </row>
    <row r="249" spans="1:9" x14ac:dyDescent="0.5">
      <c r="A249" s="35"/>
      <c r="B249" s="24"/>
      <c r="C249" s="286">
        <f t="shared" si="11"/>
        <v>17502</v>
      </c>
      <c r="D249" s="287"/>
      <c r="E249" s="24" t="s">
        <v>34</v>
      </c>
      <c r="F249" s="38" t="s">
        <v>61</v>
      </c>
      <c r="G249" s="288">
        <f>7500+3640+2362+4000</f>
        <v>17502</v>
      </c>
      <c r="H249" s="289"/>
    </row>
    <row r="250" spans="1:9" x14ac:dyDescent="0.5">
      <c r="A250" s="35"/>
      <c r="B250" s="24"/>
      <c r="C250" s="286">
        <f t="shared" si="11"/>
        <v>223520</v>
      </c>
      <c r="D250" s="287"/>
      <c r="E250" s="24" t="s">
        <v>56</v>
      </c>
      <c r="F250" s="38" t="s">
        <v>60</v>
      </c>
      <c r="G250" s="288">
        <f>132000+29500</f>
        <v>161500</v>
      </c>
      <c r="H250" s="289"/>
    </row>
    <row r="251" spans="1:9" x14ac:dyDescent="0.5">
      <c r="A251" s="35"/>
      <c r="B251" s="24"/>
      <c r="C251" s="286">
        <f t="shared" si="11"/>
        <v>4433.2</v>
      </c>
      <c r="D251" s="287"/>
      <c r="E251" s="24" t="s">
        <v>137</v>
      </c>
      <c r="F251" s="38" t="s">
        <v>141</v>
      </c>
      <c r="G251" s="288">
        <v>4000</v>
      </c>
      <c r="H251" s="289"/>
    </row>
    <row r="252" spans="1:9" x14ac:dyDescent="0.5">
      <c r="A252" s="35"/>
      <c r="B252" s="24"/>
      <c r="C252" s="286">
        <f t="shared" si="11"/>
        <v>1800</v>
      </c>
      <c r="D252" s="287"/>
      <c r="E252" s="24" t="s">
        <v>102</v>
      </c>
      <c r="F252" s="38" t="s">
        <v>142</v>
      </c>
      <c r="G252" s="288">
        <v>0</v>
      </c>
      <c r="H252" s="289"/>
    </row>
    <row r="253" spans="1:9" x14ac:dyDescent="0.5">
      <c r="A253" s="35"/>
      <c r="B253" s="24"/>
      <c r="C253" s="286">
        <f t="shared" si="11"/>
        <v>2100</v>
      </c>
      <c r="D253" s="287"/>
      <c r="E253" s="24" t="s">
        <v>138</v>
      </c>
      <c r="F253" s="38" t="s">
        <v>143</v>
      </c>
      <c r="G253" s="288">
        <v>0</v>
      </c>
      <c r="H253" s="289"/>
    </row>
    <row r="254" spans="1:9" x14ac:dyDescent="0.5">
      <c r="A254" s="35"/>
      <c r="B254" s="24"/>
      <c r="C254" s="286">
        <f t="shared" si="11"/>
        <v>610639</v>
      </c>
      <c r="D254" s="287"/>
      <c r="E254" s="24" t="s">
        <v>125</v>
      </c>
      <c r="F254" s="38" t="s">
        <v>144</v>
      </c>
      <c r="G254" s="288">
        <v>0</v>
      </c>
      <c r="H254" s="289"/>
    </row>
    <row r="255" spans="1:9" x14ac:dyDescent="0.5">
      <c r="A255" s="35"/>
      <c r="B255" s="24"/>
      <c r="C255" s="286">
        <f t="shared" si="11"/>
        <v>4495.17</v>
      </c>
      <c r="D255" s="287"/>
      <c r="E255" s="24" t="s">
        <v>139</v>
      </c>
      <c r="F255" s="38" t="s">
        <v>146</v>
      </c>
      <c r="G255" s="288">
        <v>556.08000000000004</v>
      </c>
      <c r="H255" s="289"/>
    </row>
    <row r="256" spans="1:9" x14ac:dyDescent="0.5">
      <c r="A256" s="35"/>
      <c r="B256" s="24"/>
      <c r="C256" s="286">
        <f t="shared" si="11"/>
        <v>8.14</v>
      </c>
      <c r="D256" s="287"/>
      <c r="E256" s="24" t="s">
        <v>115</v>
      </c>
      <c r="F256" s="38" t="s">
        <v>140</v>
      </c>
      <c r="G256" s="288">
        <v>0</v>
      </c>
      <c r="H256" s="289"/>
    </row>
    <row r="257" spans="1:9" x14ac:dyDescent="0.5">
      <c r="A257" s="35"/>
      <c r="B257" s="24"/>
      <c r="C257" s="288">
        <f t="shared" si="11"/>
        <v>0</v>
      </c>
      <c r="D257" s="289"/>
      <c r="E257" s="24" t="s">
        <v>180</v>
      </c>
      <c r="F257" s="38"/>
      <c r="G257" s="288">
        <v>0</v>
      </c>
      <c r="H257" s="289"/>
    </row>
    <row r="258" spans="1:9" x14ac:dyDescent="0.5">
      <c r="A258" s="35"/>
      <c r="B258" s="24"/>
      <c r="C258" s="286">
        <f t="shared" si="11"/>
        <v>1194.8399999999999</v>
      </c>
      <c r="D258" s="287"/>
      <c r="E258" s="24" t="s">
        <v>111</v>
      </c>
      <c r="F258" s="38" t="s">
        <v>75</v>
      </c>
      <c r="G258" s="288">
        <v>0</v>
      </c>
      <c r="H258" s="289"/>
    </row>
    <row r="259" spans="1:9" x14ac:dyDescent="0.5">
      <c r="A259" s="35"/>
      <c r="B259" s="24"/>
      <c r="C259" s="286">
        <f t="shared" si="11"/>
        <v>0</v>
      </c>
      <c r="D259" s="287"/>
      <c r="E259" s="24" t="s">
        <v>114</v>
      </c>
      <c r="F259" s="38"/>
      <c r="G259" s="288">
        <v>0</v>
      </c>
      <c r="H259" s="289"/>
    </row>
    <row r="260" spans="1:9" x14ac:dyDescent="0.5">
      <c r="A260" s="35"/>
      <c r="B260" s="24"/>
      <c r="C260" s="286">
        <f t="shared" si="11"/>
        <v>17561285.690000001</v>
      </c>
      <c r="D260" s="287"/>
      <c r="E260" s="24" t="s">
        <v>15</v>
      </c>
      <c r="F260" s="38" t="s">
        <v>309</v>
      </c>
      <c r="G260" s="288">
        <f>20000+50380</f>
        <v>70380</v>
      </c>
      <c r="H260" s="289"/>
    </row>
    <row r="261" spans="1:9" x14ac:dyDescent="0.5">
      <c r="A261" s="35"/>
      <c r="B261" s="24"/>
      <c r="C261" s="286">
        <f t="shared" si="11"/>
        <v>72731698.959999993</v>
      </c>
      <c r="D261" s="287"/>
      <c r="E261" s="24" t="s">
        <v>54</v>
      </c>
      <c r="F261" s="38"/>
      <c r="G261" s="288">
        <v>0</v>
      </c>
      <c r="H261" s="289"/>
    </row>
    <row r="262" spans="1:9" x14ac:dyDescent="0.5">
      <c r="A262" s="35"/>
      <c r="B262" s="24"/>
      <c r="C262" s="286" t="e">
        <f>#REF!+G262</f>
        <v>#REF!</v>
      </c>
      <c r="D262" s="287"/>
      <c r="E262" s="24" t="s">
        <v>92</v>
      </c>
      <c r="F262" s="38" t="s">
        <v>93</v>
      </c>
      <c r="G262" s="288"/>
      <c r="H262" s="289"/>
    </row>
    <row r="263" spans="1:9" x14ac:dyDescent="0.5">
      <c r="A263" s="35"/>
      <c r="B263" s="24"/>
      <c r="C263" s="286" t="e">
        <f>#REF!+G263</f>
        <v>#REF!</v>
      </c>
      <c r="D263" s="287"/>
      <c r="E263" s="24" t="s">
        <v>174</v>
      </c>
      <c r="F263" s="38" t="s">
        <v>128</v>
      </c>
      <c r="G263" s="288">
        <v>1778000</v>
      </c>
      <c r="H263" s="289"/>
    </row>
    <row r="264" spans="1:9" x14ac:dyDescent="0.5">
      <c r="A264" s="35"/>
      <c r="B264" s="24"/>
      <c r="C264" s="290" t="e">
        <f>SUM(C238:C263)</f>
        <v>#REF!</v>
      </c>
      <c r="D264" s="291"/>
      <c r="E264" s="24"/>
      <c r="F264" s="38"/>
      <c r="G264" s="292" t="e">
        <f>SUM(G238:G263)</f>
        <v>#REF!</v>
      </c>
      <c r="H264" s="293"/>
    </row>
    <row r="265" spans="1:9" ht="24" thickBot="1" x14ac:dyDescent="0.55000000000000004">
      <c r="A265" s="35"/>
      <c r="C265" s="294" t="e">
        <f>C236+C264</f>
        <v>#REF!</v>
      </c>
      <c r="D265" s="295"/>
      <c r="E265" s="112" t="s">
        <v>35</v>
      </c>
      <c r="F265" s="34"/>
      <c r="G265" s="294" t="e">
        <f>G236+G264</f>
        <v>#REF!</v>
      </c>
      <c r="H265" s="295"/>
      <c r="I265" s="21"/>
    </row>
    <row r="266" spans="1:9" ht="24" thickTop="1" x14ac:dyDescent="0.5">
      <c r="A266" s="300" t="s">
        <v>95</v>
      </c>
      <c r="B266" s="300"/>
      <c r="C266" s="300"/>
      <c r="D266" s="300"/>
      <c r="E266" s="300"/>
      <c r="F266" s="300"/>
      <c r="G266" s="300"/>
      <c r="H266" s="300"/>
    </row>
    <row r="267" spans="1:9" x14ac:dyDescent="0.5">
      <c r="A267" s="300" t="s">
        <v>147</v>
      </c>
      <c r="B267" s="300"/>
      <c r="C267" s="300"/>
      <c r="D267" s="300"/>
      <c r="E267" s="300"/>
      <c r="F267" s="300"/>
      <c r="G267" s="300"/>
      <c r="H267" s="300"/>
    </row>
    <row r="268" spans="1:9" x14ac:dyDescent="0.5">
      <c r="A268" s="20"/>
      <c r="B268" s="1"/>
      <c r="C268" s="1"/>
      <c r="D268" s="1"/>
      <c r="E268" s="1"/>
      <c r="F268" s="301" t="s">
        <v>173</v>
      </c>
      <c r="G268" s="301"/>
      <c r="H268" s="301"/>
    </row>
    <row r="269" spans="1:9" x14ac:dyDescent="0.5">
      <c r="A269" s="300" t="s">
        <v>17</v>
      </c>
      <c r="B269" s="300"/>
      <c r="C269" s="300"/>
      <c r="D269" s="300"/>
      <c r="E269" s="300"/>
      <c r="F269" s="300"/>
      <c r="G269" s="300"/>
      <c r="H269" s="300"/>
    </row>
    <row r="270" spans="1:9" ht="24" thickBot="1" x14ac:dyDescent="0.55000000000000004">
      <c r="A270" s="64"/>
      <c r="B270" s="29"/>
      <c r="C270" s="29"/>
      <c r="D270" s="29"/>
      <c r="E270" s="29"/>
      <c r="F270" s="302" t="s">
        <v>312</v>
      </c>
      <c r="G270" s="302"/>
      <c r="H270" s="302"/>
    </row>
    <row r="271" spans="1:9" ht="24" thickTop="1" x14ac:dyDescent="0.5">
      <c r="A271" s="303" t="s">
        <v>18</v>
      </c>
      <c r="B271" s="303"/>
      <c r="C271" s="303"/>
      <c r="D271" s="303"/>
      <c r="E271" s="27"/>
      <c r="F271" s="303" t="s">
        <v>19</v>
      </c>
      <c r="G271" s="303"/>
      <c r="H271" s="303"/>
    </row>
    <row r="272" spans="1:9" x14ac:dyDescent="0.5">
      <c r="A272" s="304" t="s">
        <v>20</v>
      </c>
      <c r="B272" s="305"/>
      <c r="C272" s="306" t="s">
        <v>22</v>
      </c>
      <c r="D272" s="306"/>
      <c r="E272" s="307" t="s">
        <v>0</v>
      </c>
      <c r="F272" s="113" t="s">
        <v>23</v>
      </c>
      <c r="G272" s="304" t="s">
        <v>22</v>
      </c>
      <c r="H272" s="305"/>
    </row>
    <row r="273" spans="1:9" ht="24" thickBot="1" x14ac:dyDescent="0.55000000000000004">
      <c r="A273" s="309" t="s">
        <v>21</v>
      </c>
      <c r="B273" s="310"/>
      <c r="C273" s="311" t="s">
        <v>21</v>
      </c>
      <c r="D273" s="311"/>
      <c r="E273" s="308"/>
      <c r="F273" s="114" t="s">
        <v>24</v>
      </c>
      <c r="G273" s="309" t="s">
        <v>21</v>
      </c>
      <c r="H273" s="310"/>
    </row>
    <row r="274" spans="1:9" ht="24" thickTop="1" x14ac:dyDescent="0.5">
      <c r="A274" s="19"/>
      <c r="B274" s="27"/>
      <c r="C274" s="312">
        <f>C226</f>
        <v>53744181.479999997</v>
      </c>
      <c r="D274" s="313"/>
      <c r="E274" s="14" t="s">
        <v>25</v>
      </c>
      <c r="F274" s="30"/>
      <c r="G274" s="312" t="e">
        <f>'ใบต่อ  55'!#REF!</f>
        <v>#REF!</v>
      </c>
      <c r="H274" s="313"/>
    </row>
    <row r="275" spans="1:9" x14ac:dyDescent="0.5">
      <c r="A275" s="8"/>
      <c r="B275" s="6"/>
      <c r="C275" s="298"/>
      <c r="D275" s="299"/>
      <c r="E275" s="14" t="s">
        <v>43</v>
      </c>
      <c r="F275" s="31" t="s">
        <v>71</v>
      </c>
      <c r="G275" s="298"/>
      <c r="H275" s="299"/>
    </row>
    <row r="276" spans="1:9" x14ac:dyDescent="0.5">
      <c r="A276" s="8">
        <v>3227000</v>
      </c>
      <c r="B276" s="5" t="s">
        <v>16</v>
      </c>
      <c r="C276" s="298">
        <f t="shared" ref="C276:C283" si="12">C228+G276</f>
        <v>1607825.48</v>
      </c>
      <c r="D276" s="299"/>
      <c r="E276" s="14" t="s">
        <v>26</v>
      </c>
      <c r="F276" s="31" t="s">
        <v>77</v>
      </c>
      <c r="G276" s="298">
        <v>134990.07</v>
      </c>
      <c r="H276" s="299"/>
    </row>
    <row r="277" spans="1:9" x14ac:dyDescent="0.5">
      <c r="A277" s="8">
        <v>1105000</v>
      </c>
      <c r="B277" s="5" t="s">
        <v>16</v>
      </c>
      <c r="C277" s="298">
        <f t="shared" si="12"/>
        <v>634137</v>
      </c>
      <c r="D277" s="299"/>
      <c r="E277" s="14" t="s">
        <v>27</v>
      </c>
      <c r="F277" s="31" t="s">
        <v>78</v>
      </c>
      <c r="G277" s="298">
        <v>58271</v>
      </c>
      <c r="H277" s="299"/>
    </row>
    <row r="278" spans="1:9" x14ac:dyDescent="0.5">
      <c r="A278" s="8">
        <v>151000</v>
      </c>
      <c r="B278" s="5" t="s">
        <v>16</v>
      </c>
      <c r="C278" s="298">
        <f t="shared" si="12"/>
        <v>363829.33</v>
      </c>
      <c r="D278" s="299"/>
      <c r="E278" s="14" t="s">
        <v>28</v>
      </c>
      <c r="F278" s="31" t="s">
        <v>79</v>
      </c>
      <c r="G278" s="298">
        <v>121749.8</v>
      </c>
      <c r="H278" s="299"/>
    </row>
    <row r="279" spans="1:9" x14ac:dyDescent="0.5">
      <c r="A279" s="8">
        <v>1000</v>
      </c>
      <c r="B279" s="5" t="s">
        <v>16</v>
      </c>
      <c r="C279" s="298">
        <f t="shared" si="12"/>
        <v>0</v>
      </c>
      <c r="D279" s="299"/>
      <c r="E279" s="14" t="s">
        <v>29</v>
      </c>
      <c r="F279" s="31" t="s">
        <v>81</v>
      </c>
      <c r="G279" s="298"/>
      <c r="H279" s="299"/>
    </row>
    <row r="280" spans="1:9" x14ac:dyDescent="0.5">
      <c r="A280" s="8">
        <v>147000</v>
      </c>
      <c r="B280" s="5" t="s">
        <v>16</v>
      </c>
      <c r="C280" s="298">
        <f t="shared" si="12"/>
        <v>72672</v>
      </c>
      <c r="D280" s="299"/>
      <c r="E280" s="14" t="s">
        <v>30</v>
      </c>
      <c r="F280" s="31" t="s">
        <v>80</v>
      </c>
      <c r="G280" s="298">
        <v>2461</v>
      </c>
      <c r="H280" s="299"/>
    </row>
    <row r="281" spans="1:9" x14ac:dyDescent="0.5">
      <c r="A281" s="2">
        <v>1000</v>
      </c>
      <c r="B281" s="5"/>
      <c r="C281" s="298">
        <f t="shared" si="12"/>
        <v>0</v>
      </c>
      <c r="D281" s="299"/>
      <c r="E281" s="14" t="s">
        <v>31</v>
      </c>
      <c r="F281" s="31" t="s">
        <v>82</v>
      </c>
      <c r="G281" s="298"/>
      <c r="H281" s="299"/>
    </row>
    <row r="282" spans="1:9" x14ac:dyDescent="0.5">
      <c r="A282" s="8">
        <v>51768000</v>
      </c>
      <c r="B282" s="5" t="s">
        <v>16</v>
      </c>
      <c r="C282" s="298">
        <f t="shared" si="12"/>
        <v>42254913.699999996</v>
      </c>
      <c r="D282" s="299"/>
      <c r="E282" s="14" t="s">
        <v>32</v>
      </c>
      <c r="F282" s="31" t="s">
        <v>83</v>
      </c>
      <c r="G282" s="298">
        <v>13569675.74</v>
      </c>
      <c r="H282" s="299"/>
      <c r="I282" s="18">
        <f>C283+21092694</f>
        <v>69367673</v>
      </c>
    </row>
    <row r="283" spans="1:9" x14ac:dyDescent="0.5">
      <c r="A283" s="8">
        <v>25800000</v>
      </c>
      <c r="B283" s="5" t="s">
        <v>16</v>
      </c>
      <c r="C283" s="298">
        <f t="shared" si="12"/>
        <v>48274979</v>
      </c>
      <c r="D283" s="299"/>
      <c r="E283" s="14" t="s">
        <v>13</v>
      </c>
      <c r="F283" s="31" t="s">
        <v>84</v>
      </c>
      <c r="G283" s="298"/>
      <c r="H283" s="299"/>
    </row>
    <row r="284" spans="1:9" ht="24" thickBot="1" x14ac:dyDescent="0.55000000000000004">
      <c r="A284" s="69">
        <f>SUM(A276:A283)</f>
        <v>82200000</v>
      </c>
      <c r="B284" s="65" t="s">
        <v>16</v>
      </c>
      <c r="C284" s="294">
        <f>SUM(C276:C283)</f>
        <v>93208356.50999999</v>
      </c>
      <c r="D284" s="295"/>
      <c r="F284" s="31"/>
      <c r="G284" s="294">
        <f>SUM(G276:G283)</f>
        <v>13887147.609999999</v>
      </c>
      <c r="H284" s="295"/>
    </row>
    <row r="285" spans="1:9" ht="24" thickTop="1" x14ac:dyDescent="0.5">
      <c r="A285" s="35"/>
      <c r="B285" s="24"/>
      <c r="C285" s="296"/>
      <c r="D285" s="297"/>
      <c r="E285" s="47" t="s">
        <v>134</v>
      </c>
      <c r="F285" s="38"/>
      <c r="G285" s="296">
        <v>0</v>
      </c>
      <c r="H285" s="297"/>
      <c r="I285" s="18">
        <f>G284+G290+G292</f>
        <v>13887147.609999999</v>
      </c>
    </row>
    <row r="286" spans="1:9" x14ac:dyDescent="0.5">
      <c r="A286" s="35"/>
      <c r="B286" s="24"/>
      <c r="C286" s="286">
        <f t="shared" ref="C286:C295" si="13">C238+G286</f>
        <v>13462800</v>
      </c>
      <c r="D286" s="287"/>
      <c r="E286" s="24" t="s">
        <v>155</v>
      </c>
      <c r="F286" s="38"/>
      <c r="G286" s="316">
        <v>6402600</v>
      </c>
      <c r="H286" s="317"/>
    </row>
    <row r="287" spans="1:9" x14ac:dyDescent="0.5">
      <c r="A287" s="35"/>
      <c r="B287" s="24"/>
      <c r="C287" s="316">
        <f t="shared" si="13"/>
        <v>1968500</v>
      </c>
      <c r="D287" s="317"/>
      <c r="E287" s="24" t="s">
        <v>156</v>
      </c>
      <c r="F287" s="38"/>
      <c r="G287" s="316">
        <v>819000</v>
      </c>
      <c r="H287" s="317"/>
    </row>
    <row r="288" spans="1:9" x14ac:dyDescent="0.5">
      <c r="A288" s="35"/>
      <c r="B288" s="24"/>
      <c r="C288" s="286">
        <f t="shared" si="13"/>
        <v>0</v>
      </c>
      <c r="D288" s="287"/>
      <c r="E288" s="47" t="s">
        <v>135</v>
      </c>
      <c r="F288" s="38"/>
      <c r="G288" s="288"/>
      <c r="H288" s="289"/>
    </row>
    <row r="289" spans="1:8" x14ac:dyDescent="0.5">
      <c r="A289" s="35"/>
      <c r="B289" s="24"/>
      <c r="C289" s="286">
        <f t="shared" si="13"/>
        <v>90000</v>
      </c>
      <c r="D289" s="287"/>
      <c r="E289" s="24" t="s">
        <v>157</v>
      </c>
      <c r="F289" s="38"/>
      <c r="G289" s="286"/>
      <c r="H289" s="287"/>
    </row>
    <row r="290" spans="1:8" x14ac:dyDescent="0.5">
      <c r="A290" s="35"/>
      <c r="B290" s="24"/>
      <c r="C290" s="286">
        <f t="shared" si="13"/>
        <v>108000</v>
      </c>
      <c r="D290" s="287"/>
      <c r="E290" s="24" t="s">
        <v>158</v>
      </c>
      <c r="F290" s="38"/>
      <c r="G290" s="286"/>
      <c r="H290" s="287"/>
    </row>
    <row r="291" spans="1:8" x14ac:dyDescent="0.5">
      <c r="A291" s="35"/>
      <c r="B291" s="24"/>
      <c r="C291" s="286">
        <f t="shared" si="13"/>
        <v>0</v>
      </c>
      <c r="D291" s="287"/>
      <c r="E291" s="24" t="s">
        <v>160</v>
      </c>
      <c r="F291" s="38"/>
      <c r="G291" s="286">
        <v>0</v>
      </c>
      <c r="H291" s="287"/>
    </row>
    <row r="292" spans="1:8" x14ac:dyDescent="0.5">
      <c r="A292" s="35"/>
      <c r="B292" s="24"/>
      <c r="C292" s="286">
        <f t="shared" si="13"/>
        <v>4860</v>
      </c>
      <c r="D292" s="287"/>
      <c r="E292" s="24" t="s">
        <v>159</v>
      </c>
      <c r="F292" s="38"/>
      <c r="G292" s="286"/>
      <c r="H292" s="287"/>
    </row>
    <row r="293" spans="1:8" x14ac:dyDescent="0.5">
      <c r="A293" s="35"/>
      <c r="B293" s="24"/>
      <c r="C293" s="286">
        <f t="shared" si="13"/>
        <v>1168158</v>
      </c>
      <c r="D293" s="287"/>
      <c r="E293" s="24" t="s">
        <v>286</v>
      </c>
      <c r="F293" s="38"/>
      <c r="G293" s="286">
        <v>678378</v>
      </c>
      <c r="H293" s="287"/>
    </row>
    <row r="294" spans="1:8" x14ac:dyDescent="0.5">
      <c r="A294" s="35"/>
      <c r="B294" s="24"/>
      <c r="C294" s="286">
        <f t="shared" si="13"/>
        <v>3873783.42</v>
      </c>
      <c r="D294" s="287"/>
      <c r="E294" s="24" t="s">
        <v>290</v>
      </c>
      <c r="F294" s="38"/>
      <c r="G294" s="286">
        <v>0</v>
      </c>
      <c r="H294" s="287"/>
    </row>
    <row r="295" spans="1:8" x14ac:dyDescent="0.5">
      <c r="A295" s="35"/>
      <c r="B295" s="24"/>
      <c r="C295" s="286">
        <f t="shared" si="13"/>
        <v>277088</v>
      </c>
      <c r="D295" s="287"/>
      <c r="E295" s="24" t="s">
        <v>291</v>
      </c>
      <c r="F295" s="38"/>
      <c r="G295" s="286">
        <v>0</v>
      </c>
      <c r="H295" s="287"/>
    </row>
    <row r="296" spans="1:8" x14ac:dyDescent="0.5">
      <c r="A296" s="35"/>
      <c r="B296" s="24"/>
      <c r="C296" s="286">
        <f>G296</f>
        <v>25500</v>
      </c>
      <c r="D296" s="287"/>
      <c r="E296" s="24" t="s">
        <v>313</v>
      </c>
      <c r="F296" s="38"/>
      <c r="G296" s="286">
        <v>25500</v>
      </c>
      <c r="H296" s="287"/>
    </row>
    <row r="297" spans="1:8" x14ac:dyDescent="0.5">
      <c r="A297" s="35"/>
      <c r="B297" s="24"/>
      <c r="C297" s="286" t="e">
        <f>C248+G297</f>
        <v>#REF!</v>
      </c>
      <c r="D297" s="287"/>
      <c r="E297" s="24" t="s">
        <v>33</v>
      </c>
      <c r="F297" s="38" t="s">
        <v>74</v>
      </c>
      <c r="G297" s="288" t="e">
        <f>'รายละเอียด(หมายเหตุ2)'!#REF!</f>
        <v>#REF!</v>
      </c>
      <c r="H297" s="289"/>
    </row>
    <row r="298" spans="1:8" x14ac:dyDescent="0.5">
      <c r="A298" s="35"/>
      <c r="B298" s="24"/>
      <c r="C298" s="286">
        <f>C249+G298</f>
        <v>458594</v>
      </c>
      <c r="D298" s="287"/>
      <c r="E298" s="24" t="s">
        <v>34</v>
      </c>
      <c r="F298" s="38" t="s">
        <v>61</v>
      </c>
      <c r="G298" s="288">
        <f>26000+6000+2844+400000+3124+3124</f>
        <v>441092</v>
      </c>
      <c r="H298" s="289"/>
    </row>
    <row r="299" spans="1:8" x14ac:dyDescent="0.5">
      <c r="A299" s="35"/>
      <c r="B299" s="24"/>
      <c r="C299" s="286">
        <f t="shared" ref="C299:C300" si="14">C250+G299</f>
        <v>223520</v>
      </c>
      <c r="D299" s="287"/>
      <c r="E299" s="24" t="s">
        <v>56</v>
      </c>
      <c r="F299" s="38" t="s">
        <v>60</v>
      </c>
      <c r="G299" s="288">
        <v>0</v>
      </c>
      <c r="H299" s="289"/>
    </row>
    <row r="300" spans="1:8" x14ac:dyDescent="0.5">
      <c r="A300" s="35"/>
      <c r="B300" s="24"/>
      <c r="C300" s="286">
        <f t="shared" si="14"/>
        <v>18433.2</v>
      </c>
      <c r="D300" s="287"/>
      <c r="E300" s="24" t="s">
        <v>137</v>
      </c>
      <c r="F300" s="38" t="s">
        <v>141</v>
      </c>
      <c r="G300" s="288">
        <v>14000</v>
      </c>
      <c r="H300" s="289"/>
    </row>
    <row r="301" spans="1:8" x14ac:dyDescent="0.5">
      <c r="A301" s="35"/>
      <c r="B301" s="24"/>
      <c r="C301" s="286">
        <f t="shared" ref="C301" si="15">C252+G301</f>
        <v>1800</v>
      </c>
      <c r="D301" s="287"/>
      <c r="E301" s="24" t="s">
        <v>102</v>
      </c>
      <c r="F301" s="38" t="s">
        <v>142</v>
      </c>
      <c r="G301" s="288">
        <v>0</v>
      </c>
      <c r="H301" s="289"/>
    </row>
    <row r="302" spans="1:8" x14ac:dyDescent="0.5">
      <c r="A302" s="35"/>
      <c r="B302" s="24"/>
      <c r="C302" s="286">
        <f t="shared" ref="C302:C312" si="16">C253+G302</f>
        <v>2100</v>
      </c>
      <c r="D302" s="287"/>
      <c r="E302" s="24" t="s">
        <v>138</v>
      </c>
      <c r="F302" s="38" t="s">
        <v>143</v>
      </c>
      <c r="G302" s="288">
        <v>0</v>
      </c>
      <c r="H302" s="289"/>
    </row>
    <row r="303" spans="1:8" x14ac:dyDescent="0.5">
      <c r="A303" s="35"/>
      <c r="B303" s="24"/>
      <c r="C303" s="286">
        <f t="shared" si="16"/>
        <v>610639</v>
      </c>
      <c r="D303" s="287"/>
      <c r="E303" s="24" t="s">
        <v>125</v>
      </c>
      <c r="F303" s="38" t="s">
        <v>144</v>
      </c>
      <c r="G303" s="288">
        <v>0</v>
      </c>
      <c r="H303" s="289"/>
    </row>
    <row r="304" spans="1:8" x14ac:dyDescent="0.5">
      <c r="A304" s="35"/>
      <c r="B304" s="24"/>
      <c r="C304" s="286">
        <f t="shared" si="16"/>
        <v>4495.17</v>
      </c>
      <c r="D304" s="287"/>
      <c r="E304" s="24" t="s">
        <v>139</v>
      </c>
      <c r="F304" s="38" t="s">
        <v>146</v>
      </c>
      <c r="G304" s="288">
        <v>0</v>
      </c>
      <c r="H304" s="289"/>
    </row>
    <row r="305" spans="1:9" x14ac:dyDescent="0.5">
      <c r="A305" s="35"/>
      <c r="B305" s="24"/>
      <c r="C305" s="286">
        <f t="shared" si="16"/>
        <v>8.14</v>
      </c>
      <c r="D305" s="287"/>
      <c r="E305" s="24" t="s">
        <v>115</v>
      </c>
      <c r="F305" s="38" t="s">
        <v>140</v>
      </c>
      <c r="G305" s="288">
        <v>0</v>
      </c>
      <c r="H305" s="289"/>
    </row>
    <row r="306" spans="1:9" x14ac:dyDescent="0.5">
      <c r="A306" s="35"/>
      <c r="B306" s="24"/>
      <c r="C306" s="286">
        <f t="shared" si="16"/>
        <v>0</v>
      </c>
      <c r="D306" s="287"/>
      <c r="E306" s="24" t="s">
        <v>180</v>
      </c>
      <c r="F306" s="38"/>
      <c r="G306" s="288">
        <v>0</v>
      </c>
      <c r="H306" s="289"/>
    </row>
    <row r="307" spans="1:9" x14ac:dyDescent="0.5">
      <c r="A307" s="35"/>
      <c r="B307" s="24"/>
      <c r="C307" s="286">
        <f t="shared" si="16"/>
        <v>1194.8399999999999</v>
      </c>
      <c r="D307" s="287"/>
      <c r="E307" s="24" t="s">
        <v>111</v>
      </c>
      <c r="F307" s="38" t="s">
        <v>75</v>
      </c>
      <c r="G307" s="288">
        <v>0</v>
      </c>
      <c r="H307" s="289"/>
    </row>
    <row r="308" spans="1:9" x14ac:dyDescent="0.5">
      <c r="A308" s="35"/>
      <c r="B308" s="24"/>
      <c r="C308" s="286">
        <f t="shared" si="16"/>
        <v>0</v>
      </c>
      <c r="D308" s="287"/>
      <c r="E308" s="24" t="s">
        <v>114</v>
      </c>
      <c r="F308" s="38"/>
      <c r="G308" s="288">
        <v>0</v>
      </c>
      <c r="H308" s="289"/>
    </row>
    <row r="309" spans="1:9" x14ac:dyDescent="0.5">
      <c r="A309" s="35"/>
      <c r="B309" s="24"/>
      <c r="C309" s="286">
        <f t="shared" si="16"/>
        <v>17584035.690000001</v>
      </c>
      <c r="D309" s="287"/>
      <c r="E309" s="24" t="s">
        <v>15</v>
      </c>
      <c r="F309" s="38" t="s">
        <v>309</v>
      </c>
      <c r="G309" s="288">
        <v>22750</v>
      </c>
      <c r="H309" s="289"/>
    </row>
    <row r="310" spans="1:9" x14ac:dyDescent="0.5">
      <c r="A310" s="35"/>
      <c r="B310" s="24"/>
      <c r="C310" s="286">
        <f t="shared" si="16"/>
        <v>72731698.959999993</v>
      </c>
      <c r="D310" s="287"/>
      <c r="E310" s="24" t="s">
        <v>54</v>
      </c>
      <c r="F310" s="38"/>
      <c r="G310" s="288">
        <v>0</v>
      </c>
      <c r="H310" s="289"/>
    </row>
    <row r="311" spans="1:9" x14ac:dyDescent="0.5">
      <c r="A311" s="35"/>
      <c r="B311" s="24"/>
      <c r="C311" s="286" t="e">
        <f t="shared" si="16"/>
        <v>#REF!</v>
      </c>
      <c r="D311" s="287"/>
      <c r="E311" s="24" t="s">
        <v>92</v>
      </c>
      <c r="F311" s="38" t="s">
        <v>93</v>
      </c>
      <c r="G311" s="288"/>
      <c r="H311" s="289"/>
    </row>
    <row r="312" spans="1:9" x14ac:dyDescent="0.5">
      <c r="A312" s="35"/>
      <c r="B312" s="24"/>
      <c r="C312" s="286" t="e">
        <f t="shared" si="16"/>
        <v>#REF!</v>
      </c>
      <c r="D312" s="287"/>
      <c r="E312" s="24" t="s">
        <v>174</v>
      </c>
      <c r="F312" s="38" t="s">
        <v>128</v>
      </c>
      <c r="G312" s="288">
        <v>0</v>
      </c>
      <c r="H312" s="289"/>
      <c r="I312" s="18" t="e">
        <f>C312-17510500</f>
        <v>#REF!</v>
      </c>
    </row>
    <row r="313" spans="1:9" x14ac:dyDescent="0.5">
      <c r="A313" s="35"/>
      <c r="B313" s="24"/>
      <c r="C313" s="286">
        <f>G313</f>
        <v>1786.52</v>
      </c>
      <c r="D313" s="287"/>
      <c r="E313" s="24" t="s">
        <v>334</v>
      </c>
      <c r="F313" s="38" t="s">
        <v>335</v>
      </c>
      <c r="G313" s="288">
        <f>934.59+851.93</f>
        <v>1786.52</v>
      </c>
      <c r="H313" s="289"/>
    </row>
    <row r="314" spans="1:9" x14ac:dyDescent="0.5">
      <c r="A314" s="35"/>
      <c r="B314" s="24"/>
      <c r="C314" s="290" t="e">
        <f>SUM(C286:C313)</f>
        <v>#REF!</v>
      </c>
      <c r="D314" s="291"/>
      <c r="E314" s="24"/>
      <c r="F314" s="38"/>
      <c r="G314" s="292" t="e">
        <f>SUM(G286:G313)</f>
        <v>#REF!</v>
      </c>
      <c r="H314" s="293"/>
    </row>
    <row r="315" spans="1:9" ht="24" thickBot="1" x14ac:dyDescent="0.55000000000000004">
      <c r="A315" s="35"/>
      <c r="C315" s="294" t="e">
        <f>C284+C314</f>
        <v>#REF!</v>
      </c>
      <c r="D315" s="295"/>
      <c r="E315" s="112" t="s">
        <v>35</v>
      </c>
      <c r="F315" s="34"/>
      <c r="G315" s="294" t="e">
        <f>G284+G314</f>
        <v>#REF!</v>
      </c>
      <c r="H315" s="295"/>
      <c r="I315" s="21"/>
    </row>
    <row r="316" spans="1:9" ht="24" thickTop="1" x14ac:dyDescent="0.5">
      <c r="A316" s="300" t="s">
        <v>95</v>
      </c>
      <c r="B316" s="300"/>
      <c r="C316" s="300"/>
      <c r="D316" s="300"/>
      <c r="E316" s="300"/>
      <c r="F316" s="300"/>
      <c r="G316" s="300"/>
      <c r="H316" s="300"/>
    </row>
    <row r="317" spans="1:9" x14ac:dyDescent="0.5">
      <c r="A317" s="300" t="s">
        <v>147</v>
      </c>
      <c r="B317" s="300"/>
      <c r="C317" s="300"/>
      <c r="D317" s="300"/>
      <c r="E317" s="300"/>
      <c r="F317" s="300"/>
      <c r="G317" s="300"/>
      <c r="H317" s="300"/>
    </row>
    <row r="318" spans="1:9" x14ac:dyDescent="0.5">
      <c r="A318" s="20"/>
      <c r="B318" s="1"/>
      <c r="C318" s="1"/>
      <c r="D318" s="1"/>
      <c r="E318" s="1"/>
      <c r="F318" s="301" t="s">
        <v>173</v>
      </c>
      <c r="G318" s="301"/>
      <c r="H318" s="301"/>
    </row>
    <row r="319" spans="1:9" x14ac:dyDescent="0.5">
      <c r="A319" s="300" t="s">
        <v>17</v>
      </c>
      <c r="B319" s="300"/>
      <c r="C319" s="300"/>
      <c r="D319" s="300"/>
      <c r="E319" s="300"/>
      <c r="F319" s="300"/>
      <c r="G319" s="300"/>
      <c r="H319" s="300"/>
    </row>
    <row r="320" spans="1:9" ht="24" thickBot="1" x14ac:dyDescent="0.55000000000000004">
      <c r="A320" s="64"/>
      <c r="B320" s="29"/>
      <c r="C320" s="29"/>
      <c r="D320" s="29"/>
      <c r="E320" s="29"/>
      <c r="F320" s="302" t="s">
        <v>349</v>
      </c>
      <c r="G320" s="302"/>
      <c r="H320" s="302"/>
    </row>
    <row r="321" spans="1:9" ht="24" thickTop="1" x14ac:dyDescent="0.5">
      <c r="A321" s="303" t="s">
        <v>18</v>
      </c>
      <c r="B321" s="303"/>
      <c r="C321" s="303"/>
      <c r="D321" s="303"/>
      <c r="E321" s="27"/>
      <c r="F321" s="303" t="s">
        <v>19</v>
      </c>
      <c r="G321" s="303"/>
      <c r="H321" s="303"/>
    </row>
    <row r="322" spans="1:9" x14ac:dyDescent="0.5">
      <c r="A322" s="304" t="s">
        <v>20</v>
      </c>
      <c r="B322" s="305"/>
      <c r="C322" s="306" t="s">
        <v>22</v>
      </c>
      <c r="D322" s="306"/>
      <c r="E322" s="307" t="s">
        <v>0</v>
      </c>
      <c r="F322" s="113" t="s">
        <v>23</v>
      </c>
      <c r="G322" s="304" t="s">
        <v>22</v>
      </c>
      <c r="H322" s="305"/>
    </row>
    <row r="323" spans="1:9" ht="24" thickBot="1" x14ac:dyDescent="0.55000000000000004">
      <c r="A323" s="309" t="s">
        <v>21</v>
      </c>
      <c r="B323" s="310"/>
      <c r="C323" s="311" t="s">
        <v>21</v>
      </c>
      <c r="D323" s="311"/>
      <c r="E323" s="308"/>
      <c r="F323" s="114" t="s">
        <v>24</v>
      </c>
      <c r="G323" s="309" t="s">
        <v>21</v>
      </c>
      <c r="H323" s="310"/>
    </row>
    <row r="324" spans="1:9" ht="24" thickTop="1" x14ac:dyDescent="0.5">
      <c r="A324" s="19"/>
      <c r="B324" s="27"/>
      <c r="C324" s="312">
        <f>C274</f>
        <v>53744181.479999997</v>
      </c>
      <c r="D324" s="313"/>
      <c r="E324" s="14" t="s">
        <v>25</v>
      </c>
      <c r="F324" s="30"/>
      <c r="G324" s="312" t="e">
        <f>'ใบต่อ  55'!#REF!</f>
        <v>#REF!</v>
      </c>
      <c r="H324" s="313"/>
    </row>
    <row r="325" spans="1:9" x14ac:dyDescent="0.5">
      <c r="A325" s="8"/>
      <c r="B325" s="6"/>
      <c r="C325" s="298"/>
      <c r="D325" s="299"/>
      <c r="E325" s="14" t="s">
        <v>43</v>
      </c>
      <c r="F325" s="31" t="s">
        <v>71</v>
      </c>
      <c r="G325" s="298"/>
      <c r="H325" s="299"/>
    </row>
    <row r="326" spans="1:9" x14ac:dyDescent="0.5">
      <c r="A326" s="8">
        <v>3227000</v>
      </c>
      <c r="B326" s="5" t="s">
        <v>16</v>
      </c>
      <c r="C326" s="298">
        <f t="shared" ref="C326:C333" si="17">C276+G326</f>
        <v>1879179.58</v>
      </c>
      <c r="D326" s="299"/>
      <c r="E326" s="14" t="s">
        <v>26</v>
      </c>
      <c r="F326" s="31" t="s">
        <v>77</v>
      </c>
      <c r="G326" s="298">
        <f>74800+815.1+193557+34+2148</f>
        <v>271354.09999999998</v>
      </c>
      <c r="H326" s="299"/>
    </row>
    <row r="327" spans="1:9" x14ac:dyDescent="0.5">
      <c r="A327" s="8">
        <v>1105000</v>
      </c>
      <c r="B327" s="5" t="s">
        <v>16</v>
      </c>
      <c r="C327" s="298">
        <f t="shared" si="17"/>
        <v>772451</v>
      </c>
      <c r="D327" s="299"/>
      <c r="E327" s="14" t="s">
        <v>27</v>
      </c>
      <c r="F327" s="31" t="s">
        <v>78</v>
      </c>
      <c r="G327" s="298">
        <f>135314+3000</f>
        <v>138314</v>
      </c>
      <c r="H327" s="299"/>
    </row>
    <row r="328" spans="1:9" x14ac:dyDescent="0.5">
      <c r="A328" s="8">
        <v>151000</v>
      </c>
      <c r="B328" s="5" t="s">
        <v>16</v>
      </c>
      <c r="C328" s="298">
        <f t="shared" si="17"/>
        <v>373829.33</v>
      </c>
      <c r="D328" s="299"/>
      <c r="E328" s="14" t="s">
        <v>28</v>
      </c>
      <c r="F328" s="31" t="s">
        <v>79</v>
      </c>
      <c r="G328" s="298">
        <v>10000</v>
      </c>
      <c r="H328" s="299"/>
    </row>
    <row r="329" spans="1:9" x14ac:dyDescent="0.5">
      <c r="A329" s="8">
        <v>1000</v>
      </c>
      <c r="B329" s="5" t="s">
        <v>16</v>
      </c>
      <c r="C329" s="298">
        <f t="shared" si="17"/>
        <v>0</v>
      </c>
      <c r="D329" s="299"/>
      <c r="E329" s="14" t="s">
        <v>29</v>
      </c>
      <c r="F329" s="31" t="s">
        <v>81</v>
      </c>
      <c r="G329" s="298">
        <v>0</v>
      </c>
      <c r="H329" s="299"/>
    </row>
    <row r="330" spans="1:9" x14ac:dyDescent="0.5">
      <c r="A330" s="8">
        <v>147000</v>
      </c>
      <c r="B330" s="5" t="s">
        <v>16</v>
      </c>
      <c r="C330" s="298">
        <f t="shared" si="17"/>
        <v>76591</v>
      </c>
      <c r="D330" s="299"/>
      <c r="E330" s="14" t="s">
        <v>30</v>
      </c>
      <c r="F330" s="31" t="s">
        <v>80</v>
      </c>
      <c r="G330" s="298">
        <v>3919</v>
      </c>
      <c r="H330" s="299"/>
    </row>
    <row r="331" spans="1:9" x14ac:dyDescent="0.5">
      <c r="A331" s="2">
        <v>1000</v>
      </c>
      <c r="B331" s="5"/>
      <c r="C331" s="298">
        <f t="shared" si="17"/>
        <v>0</v>
      </c>
      <c r="D331" s="299"/>
      <c r="E331" s="14" t="s">
        <v>31</v>
      </c>
      <c r="F331" s="31" t="s">
        <v>82</v>
      </c>
      <c r="G331" s="298"/>
      <c r="H331" s="299"/>
    </row>
    <row r="332" spans="1:9" x14ac:dyDescent="0.5">
      <c r="A332" s="8">
        <v>51768000</v>
      </c>
      <c r="B332" s="5" t="s">
        <v>16</v>
      </c>
      <c r="C332" s="298">
        <f t="shared" si="17"/>
        <v>48977394.209999993</v>
      </c>
      <c r="D332" s="299"/>
      <c r="E332" s="14" t="s">
        <v>32</v>
      </c>
      <c r="F332" s="31" t="s">
        <v>83</v>
      </c>
      <c r="G332" s="298">
        <f>2618366.38+718874.02+322905.22+706141.85+89745.04+2266448</f>
        <v>6722480.5099999998</v>
      </c>
      <c r="H332" s="299"/>
      <c r="I332" s="18">
        <f>C333+21092694</f>
        <v>69367673</v>
      </c>
    </row>
    <row r="333" spans="1:9" x14ac:dyDescent="0.5">
      <c r="A333" s="8">
        <v>25800000</v>
      </c>
      <c r="B333" s="5" t="s">
        <v>16</v>
      </c>
      <c r="C333" s="298">
        <f t="shared" si="17"/>
        <v>48274979</v>
      </c>
      <c r="D333" s="299"/>
      <c r="E333" s="14" t="s">
        <v>13</v>
      </c>
      <c r="F333" s="31" t="s">
        <v>84</v>
      </c>
      <c r="G333" s="298"/>
      <c r="H333" s="299"/>
    </row>
    <row r="334" spans="1:9" ht="24" thickBot="1" x14ac:dyDescent="0.55000000000000004">
      <c r="A334" s="69">
        <f>SUM(A326:A333)</f>
        <v>82200000</v>
      </c>
      <c r="B334" s="65" t="s">
        <v>16</v>
      </c>
      <c r="C334" s="294">
        <f>SUM(C326:C333)</f>
        <v>100354424.11999999</v>
      </c>
      <c r="D334" s="295"/>
      <c r="F334" s="31"/>
      <c r="G334" s="294">
        <f>SUM(G326:G333)</f>
        <v>7146067.6099999994</v>
      </c>
      <c r="H334" s="295"/>
    </row>
    <row r="335" spans="1:9" ht="24" thickTop="1" x14ac:dyDescent="0.5">
      <c r="A335" s="35"/>
      <c r="B335" s="24"/>
      <c r="C335" s="296"/>
      <c r="D335" s="297"/>
      <c r="E335" s="47" t="s">
        <v>134</v>
      </c>
      <c r="F335" s="38"/>
      <c r="G335" s="296">
        <v>0</v>
      </c>
      <c r="H335" s="297"/>
      <c r="I335" s="18">
        <f>G334+G340+G342</f>
        <v>7183507.6099999994</v>
      </c>
    </row>
    <row r="336" spans="1:9" x14ac:dyDescent="0.5">
      <c r="A336" s="35"/>
      <c r="B336" s="24"/>
      <c r="C336" s="286">
        <f t="shared" ref="C336:C357" si="18">C286+G336</f>
        <v>13462800</v>
      </c>
      <c r="D336" s="287"/>
      <c r="E336" s="24" t="s">
        <v>155</v>
      </c>
      <c r="F336" s="38"/>
      <c r="G336" s="286">
        <v>0</v>
      </c>
      <c r="H336" s="287"/>
    </row>
    <row r="337" spans="1:8" x14ac:dyDescent="0.5">
      <c r="A337" s="35"/>
      <c r="B337" s="24"/>
      <c r="C337" s="286">
        <f t="shared" si="18"/>
        <v>1968500</v>
      </c>
      <c r="D337" s="287"/>
      <c r="E337" s="24" t="s">
        <v>156</v>
      </c>
      <c r="F337" s="38"/>
      <c r="G337" s="286">
        <v>0</v>
      </c>
      <c r="H337" s="287"/>
    </row>
    <row r="338" spans="1:8" x14ac:dyDescent="0.5">
      <c r="A338" s="35"/>
      <c r="B338" s="24"/>
      <c r="C338" s="286">
        <f t="shared" si="18"/>
        <v>0</v>
      </c>
      <c r="D338" s="287"/>
      <c r="E338" s="47" t="s">
        <v>135</v>
      </c>
      <c r="F338" s="38"/>
      <c r="G338" s="288"/>
      <c r="H338" s="289"/>
    </row>
    <row r="339" spans="1:8" x14ac:dyDescent="0.5">
      <c r="A339" s="35"/>
      <c r="B339" s="24"/>
      <c r="C339" s="286">
        <f t="shared" si="18"/>
        <v>120000</v>
      </c>
      <c r="D339" s="287"/>
      <c r="E339" s="24" t="s">
        <v>157</v>
      </c>
      <c r="F339" s="38"/>
      <c r="G339" s="286">
        <v>30000</v>
      </c>
      <c r="H339" s="287"/>
    </row>
    <row r="340" spans="1:8" x14ac:dyDescent="0.5">
      <c r="A340" s="35"/>
      <c r="B340" s="24"/>
      <c r="C340" s="286">
        <f t="shared" si="18"/>
        <v>144000</v>
      </c>
      <c r="D340" s="287"/>
      <c r="E340" s="24" t="s">
        <v>158</v>
      </c>
      <c r="F340" s="38"/>
      <c r="G340" s="286">
        <v>36000</v>
      </c>
      <c r="H340" s="287"/>
    </row>
    <row r="341" spans="1:8" x14ac:dyDescent="0.5">
      <c r="A341" s="35"/>
      <c r="B341" s="24"/>
      <c r="C341" s="286">
        <f t="shared" si="18"/>
        <v>4239</v>
      </c>
      <c r="D341" s="287"/>
      <c r="E341" s="24" t="s">
        <v>160</v>
      </c>
      <c r="F341" s="38"/>
      <c r="G341" s="286">
        <v>4239</v>
      </c>
      <c r="H341" s="287"/>
    </row>
    <row r="342" spans="1:8" x14ac:dyDescent="0.5">
      <c r="A342" s="35"/>
      <c r="B342" s="24"/>
      <c r="C342" s="286">
        <f t="shared" si="18"/>
        <v>6300</v>
      </c>
      <c r="D342" s="287"/>
      <c r="E342" s="24" t="s">
        <v>159</v>
      </c>
      <c r="F342" s="38"/>
      <c r="G342" s="286">
        <v>1440</v>
      </c>
      <c r="H342" s="287"/>
    </row>
    <row r="343" spans="1:8" x14ac:dyDescent="0.5">
      <c r="A343" s="35"/>
      <c r="B343" s="24"/>
      <c r="C343" s="286">
        <f t="shared" si="18"/>
        <v>1168158</v>
      </c>
      <c r="D343" s="287"/>
      <c r="E343" s="24" t="s">
        <v>286</v>
      </c>
      <c r="F343" s="38"/>
      <c r="G343" s="286">
        <v>0</v>
      </c>
      <c r="H343" s="287"/>
    </row>
    <row r="344" spans="1:8" x14ac:dyDescent="0.5">
      <c r="A344" s="35"/>
      <c r="B344" s="24"/>
      <c r="C344" s="286">
        <f t="shared" si="18"/>
        <v>3873783.42</v>
      </c>
      <c r="D344" s="287"/>
      <c r="E344" s="24" t="s">
        <v>290</v>
      </c>
      <c r="F344" s="38"/>
      <c r="G344" s="286">
        <v>0</v>
      </c>
      <c r="H344" s="287"/>
    </row>
    <row r="345" spans="1:8" x14ac:dyDescent="0.5">
      <c r="A345" s="35"/>
      <c r="B345" s="24"/>
      <c r="C345" s="286">
        <f t="shared" si="18"/>
        <v>277088</v>
      </c>
      <c r="D345" s="287"/>
      <c r="E345" s="24" t="s">
        <v>291</v>
      </c>
      <c r="F345" s="38"/>
      <c r="G345" s="286">
        <v>0</v>
      </c>
      <c r="H345" s="287"/>
    </row>
    <row r="346" spans="1:8" x14ac:dyDescent="0.5">
      <c r="A346" s="35"/>
      <c r="B346" s="24"/>
      <c r="C346" s="286">
        <f>C296+G346</f>
        <v>25500</v>
      </c>
      <c r="D346" s="287"/>
      <c r="E346" s="24" t="s">
        <v>313</v>
      </c>
      <c r="F346" s="38"/>
      <c r="G346" s="286">
        <v>0</v>
      </c>
      <c r="H346" s="287"/>
    </row>
    <row r="347" spans="1:8" x14ac:dyDescent="0.5">
      <c r="A347" s="35"/>
      <c r="B347" s="24"/>
      <c r="C347" s="286" t="e">
        <f t="shared" si="18"/>
        <v>#REF!</v>
      </c>
      <c r="D347" s="287"/>
      <c r="E347" s="24" t="s">
        <v>33</v>
      </c>
      <c r="F347" s="38" t="s">
        <v>74</v>
      </c>
      <c r="G347" s="288" t="e">
        <f>'รายละเอียด(หมายเหตุ2)'!#REF!</f>
        <v>#REF!</v>
      </c>
      <c r="H347" s="289"/>
    </row>
    <row r="348" spans="1:8" x14ac:dyDescent="0.5">
      <c r="A348" s="35"/>
      <c r="B348" s="24"/>
      <c r="C348" s="286">
        <f t="shared" si="18"/>
        <v>463294</v>
      </c>
      <c r="D348" s="287"/>
      <c r="E348" s="24" t="s">
        <v>34</v>
      </c>
      <c r="F348" s="38" t="s">
        <v>61</v>
      </c>
      <c r="G348" s="288">
        <f>4700</f>
        <v>4700</v>
      </c>
      <c r="H348" s="289"/>
    </row>
    <row r="349" spans="1:8" x14ac:dyDescent="0.5">
      <c r="A349" s="35"/>
      <c r="B349" s="24"/>
      <c r="C349" s="286">
        <f t="shared" si="18"/>
        <v>1550320</v>
      </c>
      <c r="D349" s="287"/>
      <c r="E349" s="24" t="s">
        <v>56</v>
      </c>
      <c r="F349" s="38" t="s">
        <v>60</v>
      </c>
      <c r="G349" s="288">
        <f>1063300+132000+131500</f>
        <v>1326800</v>
      </c>
      <c r="H349" s="289"/>
    </row>
    <row r="350" spans="1:8" x14ac:dyDescent="0.5">
      <c r="A350" s="35"/>
      <c r="B350" s="24"/>
      <c r="C350" s="286">
        <f t="shared" si="18"/>
        <v>26433.200000000001</v>
      </c>
      <c r="D350" s="287"/>
      <c r="E350" s="24" t="s">
        <v>137</v>
      </c>
      <c r="F350" s="38" t="s">
        <v>141</v>
      </c>
      <c r="G350" s="288">
        <v>8000</v>
      </c>
      <c r="H350" s="289"/>
    </row>
    <row r="351" spans="1:8" x14ac:dyDescent="0.5">
      <c r="A351" s="35"/>
      <c r="B351" s="24"/>
      <c r="C351" s="286">
        <f t="shared" si="18"/>
        <v>1800</v>
      </c>
      <c r="D351" s="287"/>
      <c r="E351" s="24" t="s">
        <v>102</v>
      </c>
      <c r="F351" s="38" t="s">
        <v>142</v>
      </c>
      <c r="G351" s="288">
        <v>0</v>
      </c>
      <c r="H351" s="289"/>
    </row>
    <row r="352" spans="1:8" x14ac:dyDescent="0.5">
      <c r="A352" s="35"/>
      <c r="B352" s="24"/>
      <c r="C352" s="286">
        <f t="shared" si="18"/>
        <v>2100</v>
      </c>
      <c r="D352" s="287"/>
      <c r="E352" s="24" t="s">
        <v>138</v>
      </c>
      <c r="F352" s="38" t="s">
        <v>143</v>
      </c>
      <c r="G352" s="288">
        <v>0</v>
      </c>
      <c r="H352" s="289"/>
    </row>
    <row r="353" spans="1:9" x14ac:dyDescent="0.5">
      <c r="A353" s="35"/>
      <c r="B353" s="24"/>
      <c r="C353" s="286">
        <f t="shared" si="18"/>
        <v>610639</v>
      </c>
      <c r="D353" s="287"/>
      <c r="E353" s="24" t="s">
        <v>125</v>
      </c>
      <c r="F353" s="38" t="s">
        <v>144</v>
      </c>
      <c r="G353" s="288">
        <v>0</v>
      </c>
      <c r="H353" s="289"/>
    </row>
    <row r="354" spans="1:9" x14ac:dyDescent="0.5">
      <c r="A354" s="35"/>
      <c r="B354" s="24"/>
      <c r="C354" s="286">
        <f t="shared" si="18"/>
        <v>4750.17</v>
      </c>
      <c r="D354" s="287"/>
      <c r="E354" s="24" t="s">
        <v>139</v>
      </c>
      <c r="F354" s="38" t="s">
        <v>146</v>
      </c>
      <c r="G354" s="288">
        <v>255</v>
      </c>
      <c r="H354" s="289"/>
    </row>
    <row r="355" spans="1:9" x14ac:dyDescent="0.5">
      <c r="A355" s="35"/>
      <c r="B355" s="24"/>
      <c r="C355" s="286">
        <f t="shared" si="18"/>
        <v>8.14</v>
      </c>
      <c r="D355" s="287"/>
      <c r="E355" s="24" t="s">
        <v>115</v>
      </c>
      <c r="F355" s="38" t="s">
        <v>140</v>
      </c>
      <c r="G355" s="288">
        <v>0</v>
      </c>
      <c r="H355" s="289"/>
    </row>
    <row r="356" spans="1:9" x14ac:dyDescent="0.5">
      <c r="A356" s="35"/>
      <c r="B356" s="24"/>
      <c r="C356" s="286">
        <f t="shared" si="18"/>
        <v>9500</v>
      </c>
      <c r="D356" s="287"/>
      <c r="E356" s="24" t="s">
        <v>180</v>
      </c>
      <c r="F356" s="38"/>
      <c r="G356" s="314">
        <v>9500</v>
      </c>
      <c r="H356" s="315"/>
    </row>
    <row r="357" spans="1:9" x14ac:dyDescent="0.5">
      <c r="A357" s="35"/>
      <c r="B357" s="24"/>
      <c r="C357" s="288">
        <f t="shared" si="18"/>
        <v>1194.8399999999999</v>
      </c>
      <c r="D357" s="289"/>
      <c r="E357" s="24" t="s">
        <v>111</v>
      </c>
      <c r="F357" s="38" t="s">
        <v>75</v>
      </c>
      <c r="G357" s="288">
        <v>0</v>
      </c>
      <c r="H357" s="289"/>
    </row>
    <row r="358" spans="1:9" x14ac:dyDescent="0.5">
      <c r="A358" s="35"/>
      <c r="B358" s="24"/>
      <c r="C358" s="286">
        <f t="shared" ref="C358:C363" si="19">C308+G358</f>
        <v>0</v>
      </c>
      <c r="D358" s="287"/>
      <c r="E358" s="24" t="s">
        <v>114</v>
      </c>
      <c r="F358" s="38"/>
      <c r="G358" s="288">
        <v>0</v>
      </c>
      <c r="H358" s="289"/>
    </row>
    <row r="359" spans="1:9" x14ac:dyDescent="0.5">
      <c r="A359" s="35"/>
      <c r="B359" s="24"/>
      <c r="C359" s="286">
        <f t="shared" si="19"/>
        <v>17809122.91</v>
      </c>
      <c r="D359" s="287"/>
      <c r="E359" s="24" t="s">
        <v>15</v>
      </c>
      <c r="F359" s="38" t="s">
        <v>309</v>
      </c>
      <c r="G359" s="288">
        <v>225087.22</v>
      </c>
      <c r="H359" s="289"/>
    </row>
    <row r="360" spans="1:9" x14ac:dyDescent="0.5">
      <c r="A360" s="35"/>
      <c r="B360" s="24"/>
      <c r="C360" s="286">
        <f t="shared" si="19"/>
        <v>72731698.959999993</v>
      </c>
      <c r="D360" s="287"/>
      <c r="E360" s="24" t="s">
        <v>54</v>
      </c>
      <c r="F360" s="38"/>
      <c r="G360" s="288">
        <v>0</v>
      </c>
      <c r="H360" s="289"/>
    </row>
    <row r="361" spans="1:9" x14ac:dyDescent="0.5">
      <c r="A361" s="35"/>
      <c r="B361" s="24"/>
      <c r="C361" s="286" t="e">
        <f t="shared" si="19"/>
        <v>#REF!</v>
      </c>
      <c r="D361" s="287"/>
      <c r="E361" s="24" t="s">
        <v>92</v>
      </c>
      <c r="F361" s="38" t="s">
        <v>93</v>
      </c>
      <c r="G361" s="288"/>
      <c r="H361" s="289"/>
    </row>
    <row r="362" spans="1:9" x14ac:dyDescent="0.5">
      <c r="A362" s="35"/>
      <c r="B362" s="24"/>
      <c r="C362" s="286" t="e">
        <f t="shared" si="19"/>
        <v>#REF!</v>
      </c>
      <c r="D362" s="287"/>
      <c r="E362" s="24" t="s">
        <v>174</v>
      </c>
      <c r="F362" s="38" t="s">
        <v>128</v>
      </c>
      <c r="G362" s="288">
        <v>0</v>
      </c>
      <c r="H362" s="289"/>
    </row>
    <row r="363" spans="1:9" x14ac:dyDescent="0.5">
      <c r="A363" s="35"/>
      <c r="B363" s="24"/>
      <c r="C363" s="286">
        <f t="shared" si="19"/>
        <v>17596.86</v>
      </c>
      <c r="D363" s="287"/>
      <c r="E363" s="24" t="s">
        <v>334</v>
      </c>
      <c r="F363" s="38" t="s">
        <v>335</v>
      </c>
      <c r="G363" s="288">
        <v>15810.34</v>
      </c>
      <c r="H363" s="289"/>
    </row>
    <row r="364" spans="1:9" x14ac:dyDescent="0.5">
      <c r="A364" s="35"/>
      <c r="B364" s="24"/>
      <c r="C364" s="290" t="e">
        <f>SUM(C336:C363)</f>
        <v>#REF!</v>
      </c>
      <c r="D364" s="291"/>
      <c r="E364" s="24"/>
      <c r="F364" s="38"/>
      <c r="G364" s="292" t="e">
        <f>SUM(G336:G363)</f>
        <v>#REF!</v>
      </c>
      <c r="H364" s="293"/>
    </row>
    <row r="365" spans="1:9" ht="24" thickBot="1" x14ac:dyDescent="0.55000000000000004">
      <c r="A365" s="35"/>
      <c r="C365" s="294" t="e">
        <f>C334+C364</f>
        <v>#REF!</v>
      </c>
      <c r="D365" s="295"/>
      <c r="E365" s="112" t="s">
        <v>35</v>
      </c>
      <c r="F365" s="34"/>
      <c r="G365" s="294" t="e">
        <f>G334+G364</f>
        <v>#REF!</v>
      </c>
      <c r="H365" s="295"/>
      <c r="I365" s="21"/>
    </row>
    <row r="366" spans="1:9" ht="24" thickTop="1" x14ac:dyDescent="0.5">
      <c r="A366" s="300" t="s">
        <v>95</v>
      </c>
      <c r="B366" s="300"/>
      <c r="C366" s="300"/>
      <c r="D366" s="300"/>
      <c r="E366" s="300"/>
      <c r="F366" s="300"/>
      <c r="G366" s="300"/>
      <c r="H366" s="300"/>
    </row>
    <row r="367" spans="1:9" x14ac:dyDescent="0.5">
      <c r="A367" s="300" t="s">
        <v>147</v>
      </c>
      <c r="B367" s="300"/>
      <c r="C367" s="300"/>
      <c r="D367" s="300"/>
      <c r="E367" s="300"/>
      <c r="F367" s="300"/>
      <c r="G367" s="300"/>
      <c r="H367" s="300"/>
    </row>
    <row r="368" spans="1:9" x14ac:dyDescent="0.5">
      <c r="A368" s="20"/>
      <c r="B368" s="1"/>
      <c r="C368" s="1"/>
      <c r="D368" s="1"/>
      <c r="E368" s="1"/>
      <c r="F368" s="301" t="s">
        <v>173</v>
      </c>
      <c r="G368" s="301"/>
      <c r="H368" s="301"/>
    </row>
    <row r="369" spans="1:9" x14ac:dyDescent="0.5">
      <c r="A369" s="300" t="s">
        <v>17</v>
      </c>
      <c r="B369" s="300"/>
      <c r="C369" s="300"/>
      <c r="D369" s="300"/>
      <c r="E369" s="300"/>
      <c r="F369" s="300"/>
      <c r="G369" s="300"/>
      <c r="H369" s="300"/>
    </row>
    <row r="370" spans="1:9" ht="24" thickBot="1" x14ac:dyDescent="0.55000000000000004">
      <c r="A370" s="64"/>
      <c r="B370" s="29"/>
      <c r="C370" s="29"/>
      <c r="D370" s="29"/>
      <c r="E370" s="29"/>
      <c r="F370" s="302" t="s">
        <v>355</v>
      </c>
      <c r="G370" s="302"/>
      <c r="H370" s="302"/>
    </row>
    <row r="371" spans="1:9" ht="24" thickTop="1" x14ac:dyDescent="0.5">
      <c r="A371" s="303" t="s">
        <v>18</v>
      </c>
      <c r="B371" s="303"/>
      <c r="C371" s="303"/>
      <c r="D371" s="303"/>
      <c r="E371" s="27"/>
      <c r="F371" s="303" t="s">
        <v>19</v>
      </c>
      <c r="G371" s="303"/>
      <c r="H371" s="303"/>
    </row>
    <row r="372" spans="1:9" x14ac:dyDescent="0.5">
      <c r="A372" s="304" t="s">
        <v>20</v>
      </c>
      <c r="B372" s="305"/>
      <c r="C372" s="306" t="s">
        <v>22</v>
      </c>
      <c r="D372" s="306"/>
      <c r="E372" s="307" t="s">
        <v>0</v>
      </c>
      <c r="F372" s="113" t="s">
        <v>23</v>
      </c>
      <c r="G372" s="304" t="s">
        <v>22</v>
      </c>
      <c r="H372" s="305"/>
    </row>
    <row r="373" spans="1:9" ht="24" thickBot="1" x14ac:dyDescent="0.55000000000000004">
      <c r="A373" s="309" t="s">
        <v>21</v>
      </c>
      <c r="B373" s="310"/>
      <c r="C373" s="311" t="s">
        <v>21</v>
      </c>
      <c r="D373" s="311"/>
      <c r="E373" s="308"/>
      <c r="F373" s="114" t="s">
        <v>24</v>
      </c>
      <c r="G373" s="309" t="s">
        <v>21</v>
      </c>
      <c r="H373" s="310"/>
    </row>
    <row r="374" spans="1:9" ht="24" thickTop="1" x14ac:dyDescent="0.5">
      <c r="A374" s="19"/>
      <c r="B374" s="27"/>
      <c r="C374" s="312">
        <f>C324</f>
        <v>53744181.479999997</v>
      </c>
      <c r="D374" s="313"/>
      <c r="E374" s="14" t="s">
        <v>25</v>
      </c>
      <c r="F374" s="30"/>
      <c r="G374" s="312" t="e">
        <f>'ใบต่อ  55'!#REF!</f>
        <v>#REF!</v>
      </c>
      <c r="H374" s="313"/>
    </row>
    <row r="375" spans="1:9" x14ac:dyDescent="0.5">
      <c r="A375" s="8"/>
      <c r="B375" s="6"/>
      <c r="C375" s="298"/>
      <c r="D375" s="299"/>
      <c r="E375" s="14" t="s">
        <v>43</v>
      </c>
      <c r="F375" s="31" t="s">
        <v>71</v>
      </c>
      <c r="G375" s="298"/>
      <c r="H375" s="299"/>
    </row>
    <row r="376" spans="1:9" x14ac:dyDescent="0.5">
      <c r="A376" s="8">
        <v>3227000</v>
      </c>
      <c r="B376" s="5" t="s">
        <v>16</v>
      </c>
      <c r="C376" s="298">
        <f>C326+G376</f>
        <v>1886465.87</v>
      </c>
      <c r="D376" s="299"/>
      <c r="E376" s="14" t="s">
        <v>26</v>
      </c>
      <c r="F376" s="31" t="s">
        <v>77</v>
      </c>
      <c r="G376" s="298">
        <f>840+114.89+3636+2472+21+6.4+196</f>
        <v>7286.29</v>
      </c>
      <c r="H376" s="299"/>
    </row>
    <row r="377" spans="1:9" x14ac:dyDescent="0.5">
      <c r="A377" s="8">
        <v>1105000</v>
      </c>
      <c r="B377" s="5" t="s">
        <v>16</v>
      </c>
      <c r="C377" s="298">
        <f>C327+G377</f>
        <v>880017</v>
      </c>
      <c r="D377" s="299"/>
      <c r="E377" s="14" t="s">
        <v>27</v>
      </c>
      <c r="F377" s="31" t="s">
        <v>78</v>
      </c>
      <c r="G377" s="298">
        <f>380+78040+200+8200+5580+680+1500+12911+75</f>
        <v>107566</v>
      </c>
      <c r="H377" s="299"/>
    </row>
    <row r="378" spans="1:9" x14ac:dyDescent="0.5">
      <c r="A378" s="8">
        <v>151000</v>
      </c>
      <c r="B378" s="5" t="s">
        <v>16</v>
      </c>
      <c r="C378" s="298">
        <f>C328+G378</f>
        <v>400829.33</v>
      </c>
      <c r="D378" s="299"/>
      <c r="E378" s="14" t="s">
        <v>28</v>
      </c>
      <c r="F378" s="31" t="s">
        <v>79</v>
      </c>
      <c r="G378" s="298">
        <f>25000+2000</f>
        <v>27000</v>
      </c>
      <c r="H378" s="299"/>
    </row>
    <row r="379" spans="1:9" x14ac:dyDescent="0.5">
      <c r="A379" s="8">
        <v>1000</v>
      </c>
      <c r="B379" s="5" t="s">
        <v>16</v>
      </c>
      <c r="C379" s="298">
        <f>C329+G379</f>
        <v>0</v>
      </c>
      <c r="D379" s="299"/>
      <c r="E379" s="14" t="s">
        <v>29</v>
      </c>
      <c r="F379" s="31" t="s">
        <v>81</v>
      </c>
      <c r="G379" s="298"/>
      <c r="H379" s="299"/>
    </row>
    <row r="380" spans="1:9" x14ac:dyDescent="0.5">
      <c r="A380" s="8">
        <v>147000</v>
      </c>
      <c r="B380" s="5" t="s">
        <v>16</v>
      </c>
      <c r="C380" s="298">
        <f>C330+G380</f>
        <v>82290</v>
      </c>
      <c r="D380" s="299"/>
      <c r="E380" s="14" t="s">
        <v>30</v>
      </c>
      <c r="F380" s="31" t="s">
        <v>80</v>
      </c>
      <c r="G380" s="298">
        <f>300+34+45+5320</f>
        <v>5699</v>
      </c>
      <c r="H380" s="299"/>
    </row>
    <row r="381" spans="1:9" x14ac:dyDescent="0.5">
      <c r="A381" s="2">
        <v>1000</v>
      </c>
      <c r="B381" s="5"/>
      <c r="C381" s="298"/>
      <c r="D381" s="299"/>
      <c r="E381" s="14" t="s">
        <v>31</v>
      </c>
      <c r="F381" s="31" t="s">
        <v>82</v>
      </c>
      <c r="G381" s="298"/>
      <c r="H381" s="299"/>
    </row>
    <row r="382" spans="1:9" x14ac:dyDescent="0.5">
      <c r="A382" s="8">
        <v>51768000</v>
      </c>
      <c r="B382" s="5" t="s">
        <v>16</v>
      </c>
      <c r="C382" s="298">
        <f>C332+G382</f>
        <v>54352394.329999991</v>
      </c>
      <c r="D382" s="299"/>
      <c r="E382" s="14" t="s">
        <v>32</v>
      </c>
      <c r="F382" s="31" t="s">
        <v>83</v>
      </c>
      <c r="G382" s="298">
        <f>2536288.53+682474.27+339165.23+624791.09+1192281</f>
        <v>5375000.1199999992</v>
      </c>
      <c r="H382" s="299"/>
      <c r="I382" s="18">
        <f>C383+21092694</f>
        <v>69367673</v>
      </c>
    </row>
    <row r="383" spans="1:9" x14ac:dyDescent="0.5">
      <c r="A383" s="8">
        <v>25800000</v>
      </c>
      <c r="B383" s="5" t="s">
        <v>16</v>
      </c>
      <c r="C383" s="298">
        <f>C333+G383</f>
        <v>48274979</v>
      </c>
      <c r="D383" s="299"/>
      <c r="E383" s="14" t="s">
        <v>13</v>
      </c>
      <c r="F383" s="31" t="s">
        <v>84</v>
      </c>
      <c r="G383" s="298"/>
      <c r="H383" s="299"/>
    </row>
    <row r="384" spans="1:9" ht="24" thickBot="1" x14ac:dyDescent="0.55000000000000004">
      <c r="A384" s="69">
        <f>SUM(A376:A383)</f>
        <v>82200000</v>
      </c>
      <c r="B384" s="65" t="s">
        <v>16</v>
      </c>
      <c r="C384" s="294">
        <f>SUM(C376:C383)</f>
        <v>105876975.53</v>
      </c>
      <c r="D384" s="295"/>
      <c r="F384" s="31"/>
      <c r="G384" s="294">
        <f>SUM(G376:G383)</f>
        <v>5522551.4099999992</v>
      </c>
      <c r="H384" s="295"/>
    </row>
    <row r="385" spans="1:9" ht="24" thickTop="1" x14ac:dyDescent="0.5">
      <c r="A385" s="35"/>
      <c r="B385" s="24"/>
      <c r="C385" s="296"/>
      <c r="D385" s="297"/>
      <c r="E385" s="47" t="s">
        <v>134</v>
      </c>
      <c r="F385" s="38"/>
      <c r="G385" s="296">
        <v>0</v>
      </c>
      <c r="H385" s="297"/>
      <c r="I385" s="18">
        <f>G384+G390+G392</f>
        <v>5541271.4099999992</v>
      </c>
    </row>
    <row r="386" spans="1:9" x14ac:dyDescent="0.5">
      <c r="A386" s="35"/>
      <c r="B386" s="24"/>
      <c r="C386" s="286">
        <f t="shared" ref="C386:C407" si="20">C336+G386</f>
        <v>13462800</v>
      </c>
      <c r="D386" s="287"/>
      <c r="E386" s="24" t="s">
        <v>155</v>
      </c>
      <c r="F386" s="38"/>
      <c r="G386" s="286">
        <v>0</v>
      </c>
      <c r="H386" s="287"/>
    </row>
    <row r="387" spans="1:9" x14ac:dyDescent="0.5">
      <c r="A387" s="35"/>
      <c r="B387" s="24"/>
      <c r="C387" s="286">
        <f t="shared" si="20"/>
        <v>1968500</v>
      </c>
      <c r="D387" s="287"/>
      <c r="E387" s="24" t="s">
        <v>156</v>
      </c>
      <c r="F387" s="38"/>
      <c r="G387" s="286">
        <v>0</v>
      </c>
      <c r="H387" s="287"/>
    </row>
    <row r="388" spans="1:9" x14ac:dyDescent="0.5">
      <c r="A388" s="35"/>
      <c r="B388" s="24"/>
      <c r="C388" s="286">
        <f t="shared" si="20"/>
        <v>0</v>
      </c>
      <c r="D388" s="287"/>
      <c r="E388" s="47" t="s">
        <v>135</v>
      </c>
      <c r="F388" s="38"/>
      <c r="G388" s="288"/>
      <c r="H388" s="289"/>
    </row>
    <row r="389" spans="1:9" x14ac:dyDescent="0.5">
      <c r="A389" s="35"/>
      <c r="B389" s="24"/>
      <c r="C389" s="286">
        <f t="shared" si="20"/>
        <v>135000</v>
      </c>
      <c r="D389" s="287"/>
      <c r="E389" s="24" t="s">
        <v>157</v>
      </c>
      <c r="F389" s="38"/>
      <c r="G389" s="286">
        <v>15000</v>
      </c>
      <c r="H389" s="287"/>
    </row>
    <row r="390" spans="1:9" x14ac:dyDescent="0.5">
      <c r="A390" s="35"/>
      <c r="B390" s="24"/>
      <c r="C390" s="286">
        <f t="shared" si="20"/>
        <v>162000</v>
      </c>
      <c r="D390" s="287"/>
      <c r="E390" s="24" t="s">
        <v>158</v>
      </c>
      <c r="F390" s="38"/>
      <c r="G390" s="286">
        <v>18000</v>
      </c>
      <c r="H390" s="287"/>
    </row>
    <row r="391" spans="1:9" x14ac:dyDescent="0.5">
      <c r="A391" s="35"/>
      <c r="B391" s="24"/>
      <c r="C391" s="286">
        <f t="shared" si="20"/>
        <v>9176</v>
      </c>
      <c r="D391" s="287"/>
      <c r="E391" s="24" t="s">
        <v>160</v>
      </c>
      <c r="F391" s="38"/>
      <c r="G391" s="286">
        <v>4937</v>
      </c>
      <c r="H391" s="287"/>
    </row>
    <row r="392" spans="1:9" x14ac:dyDescent="0.5">
      <c r="A392" s="35"/>
      <c r="B392" s="24"/>
      <c r="C392" s="286">
        <f t="shared" si="20"/>
        <v>7020</v>
      </c>
      <c r="D392" s="287"/>
      <c r="E392" s="24" t="s">
        <v>159</v>
      </c>
      <c r="F392" s="38"/>
      <c r="G392" s="286">
        <v>720</v>
      </c>
      <c r="H392" s="287"/>
      <c r="I392" s="111">
        <f>G384+G389+G390+G391+G392</f>
        <v>5561208.4099999992</v>
      </c>
    </row>
    <row r="393" spans="1:9" x14ac:dyDescent="0.5">
      <c r="A393" s="35"/>
      <c r="B393" s="24"/>
      <c r="C393" s="286">
        <f t="shared" si="20"/>
        <v>1168158</v>
      </c>
      <c r="D393" s="287"/>
      <c r="E393" s="24" t="s">
        <v>286</v>
      </c>
      <c r="F393" s="38"/>
      <c r="G393" s="286">
        <v>0</v>
      </c>
      <c r="H393" s="287"/>
    </row>
    <row r="394" spans="1:9" x14ac:dyDescent="0.5">
      <c r="A394" s="35"/>
      <c r="B394" s="24"/>
      <c r="C394" s="286">
        <f t="shared" si="20"/>
        <v>3873783.42</v>
      </c>
      <c r="D394" s="287"/>
      <c r="E394" s="24" t="s">
        <v>290</v>
      </c>
      <c r="F394" s="38"/>
      <c r="G394" s="286">
        <v>0</v>
      </c>
      <c r="H394" s="287"/>
    </row>
    <row r="395" spans="1:9" x14ac:dyDescent="0.5">
      <c r="A395" s="35"/>
      <c r="B395" s="24"/>
      <c r="C395" s="286">
        <f t="shared" si="20"/>
        <v>277088</v>
      </c>
      <c r="D395" s="287"/>
      <c r="E395" s="24" t="s">
        <v>291</v>
      </c>
      <c r="F395" s="38"/>
      <c r="G395" s="286">
        <v>0</v>
      </c>
      <c r="H395" s="287"/>
    </row>
    <row r="396" spans="1:9" x14ac:dyDescent="0.5">
      <c r="A396" s="35"/>
      <c r="B396" s="24"/>
      <c r="C396" s="286">
        <f t="shared" si="20"/>
        <v>25500</v>
      </c>
      <c r="D396" s="287"/>
      <c r="E396" s="24" t="s">
        <v>313</v>
      </c>
      <c r="F396" s="38"/>
      <c r="G396" s="286">
        <v>0</v>
      </c>
      <c r="H396" s="287"/>
    </row>
    <row r="397" spans="1:9" x14ac:dyDescent="0.5">
      <c r="A397" s="35"/>
      <c r="B397" s="24"/>
      <c r="C397" s="286" t="e">
        <f t="shared" si="20"/>
        <v>#REF!</v>
      </c>
      <c r="D397" s="287"/>
      <c r="E397" s="24" t="s">
        <v>33</v>
      </c>
      <c r="F397" s="38" t="s">
        <v>74</v>
      </c>
      <c r="G397" s="288" t="e">
        <f>'รายละเอียด(หมายเหตุ2)'!#REF!</f>
        <v>#REF!</v>
      </c>
      <c r="H397" s="289"/>
    </row>
    <row r="398" spans="1:9" x14ac:dyDescent="0.5">
      <c r="A398" s="35"/>
      <c r="B398" s="24"/>
      <c r="C398" s="286">
        <f t="shared" si="20"/>
        <v>763712</v>
      </c>
      <c r="D398" s="287"/>
      <c r="E398" s="24" t="s">
        <v>34</v>
      </c>
      <c r="F398" s="38" t="s">
        <v>61</v>
      </c>
      <c r="G398" s="288">
        <f>103000+60000+60000+60000+5806+5806+5806</f>
        <v>300418</v>
      </c>
      <c r="H398" s="289"/>
    </row>
    <row r="399" spans="1:9" x14ac:dyDescent="0.5">
      <c r="A399" s="35"/>
      <c r="B399" s="24"/>
      <c r="C399" s="286">
        <f t="shared" si="20"/>
        <v>1550320</v>
      </c>
      <c r="D399" s="287"/>
      <c r="E399" s="24" t="s">
        <v>56</v>
      </c>
      <c r="F399" s="38" t="s">
        <v>60</v>
      </c>
      <c r="G399" s="288">
        <v>0</v>
      </c>
      <c r="H399" s="289"/>
    </row>
    <row r="400" spans="1:9" x14ac:dyDescent="0.5">
      <c r="A400" s="35"/>
      <c r="B400" s="24"/>
      <c r="C400" s="286">
        <f t="shared" si="20"/>
        <v>26433.200000000001</v>
      </c>
      <c r="D400" s="287"/>
      <c r="E400" s="24" t="s">
        <v>137</v>
      </c>
      <c r="F400" s="38" t="s">
        <v>141</v>
      </c>
      <c r="G400" s="288">
        <v>0</v>
      </c>
      <c r="H400" s="289"/>
    </row>
    <row r="401" spans="1:9" x14ac:dyDescent="0.5">
      <c r="A401" s="35"/>
      <c r="B401" s="24"/>
      <c r="C401" s="286">
        <f t="shared" si="20"/>
        <v>1800</v>
      </c>
      <c r="D401" s="287"/>
      <c r="E401" s="24" t="s">
        <v>102</v>
      </c>
      <c r="F401" s="38" t="s">
        <v>142</v>
      </c>
      <c r="G401" s="288">
        <v>0</v>
      </c>
      <c r="H401" s="289"/>
    </row>
    <row r="402" spans="1:9" x14ac:dyDescent="0.5">
      <c r="A402" s="35"/>
      <c r="B402" s="24"/>
      <c r="C402" s="286">
        <f t="shared" si="20"/>
        <v>2100</v>
      </c>
      <c r="D402" s="287"/>
      <c r="E402" s="24" t="s">
        <v>138</v>
      </c>
      <c r="F402" s="38" t="s">
        <v>143</v>
      </c>
      <c r="G402" s="288">
        <v>0</v>
      </c>
      <c r="H402" s="289"/>
    </row>
    <row r="403" spans="1:9" x14ac:dyDescent="0.5">
      <c r="A403" s="35"/>
      <c r="B403" s="24"/>
      <c r="C403" s="286">
        <f t="shared" si="20"/>
        <v>610639</v>
      </c>
      <c r="D403" s="287"/>
      <c r="E403" s="24" t="s">
        <v>125</v>
      </c>
      <c r="F403" s="38" t="s">
        <v>144</v>
      </c>
      <c r="G403" s="288">
        <v>0</v>
      </c>
      <c r="H403" s="289"/>
    </row>
    <row r="404" spans="1:9" x14ac:dyDescent="0.5">
      <c r="A404" s="35"/>
      <c r="B404" s="24"/>
      <c r="C404" s="286">
        <f t="shared" si="20"/>
        <v>4750.17</v>
      </c>
      <c r="D404" s="287"/>
      <c r="E404" s="24" t="s">
        <v>139</v>
      </c>
      <c r="F404" s="38" t="s">
        <v>146</v>
      </c>
      <c r="G404" s="288">
        <v>0</v>
      </c>
      <c r="H404" s="289"/>
    </row>
    <row r="405" spans="1:9" x14ac:dyDescent="0.5">
      <c r="A405" s="35"/>
      <c r="B405" s="24"/>
      <c r="C405" s="286">
        <f t="shared" si="20"/>
        <v>8.14</v>
      </c>
      <c r="D405" s="287"/>
      <c r="E405" s="24" t="s">
        <v>115</v>
      </c>
      <c r="F405" s="38" t="s">
        <v>140</v>
      </c>
      <c r="G405" s="288">
        <v>0</v>
      </c>
      <c r="H405" s="289"/>
    </row>
    <row r="406" spans="1:9" x14ac:dyDescent="0.5">
      <c r="A406" s="35"/>
      <c r="B406" s="24"/>
      <c r="C406" s="286">
        <f t="shared" si="20"/>
        <v>13700</v>
      </c>
      <c r="D406" s="287"/>
      <c r="E406" s="24" t="s">
        <v>180</v>
      </c>
      <c r="F406" s="38"/>
      <c r="G406" s="314">
        <v>4200</v>
      </c>
      <c r="H406" s="315"/>
    </row>
    <row r="407" spans="1:9" x14ac:dyDescent="0.5">
      <c r="A407" s="35"/>
      <c r="B407" s="24"/>
      <c r="C407" s="286">
        <f t="shared" si="20"/>
        <v>1194.8399999999999</v>
      </c>
      <c r="D407" s="287"/>
      <c r="E407" s="24" t="s">
        <v>111</v>
      </c>
      <c r="F407" s="38" t="s">
        <v>75</v>
      </c>
      <c r="G407" s="288">
        <v>0</v>
      </c>
      <c r="H407" s="289"/>
    </row>
    <row r="408" spans="1:9" x14ac:dyDescent="0.5">
      <c r="A408" s="35"/>
      <c r="B408" s="24"/>
      <c r="C408" s="286">
        <f t="shared" ref="C408:C412" si="21">C358+G408</f>
        <v>0</v>
      </c>
      <c r="D408" s="287"/>
      <c r="E408" s="24" t="s">
        <v>114</v>
      </c>
      <c r="F408" s="38"/>
      <c r="G408" s="288">
        <v>0</v>
      </c>
      <c r="H408" s="289"/>
    </row>
    <row r="409" spans="1:9" x14ac:dyDescent="0.5">
      <c r="A409" s="35"/>
      <c r="B409" s="24"/>
      <c r="C409" s="286">
        <f t="shared" si="21"/>
        <v>17809122.91</v>
      </c>
      <c r="D409" s="287"/>
      <c r="E409" s="24" t="s">
        <v>15</v>
      </c>
      <c r="F409" s="38" t="s">
        <v>309</v>
      </c>
      <c r="G409" s="288">
        <v>0</v>
      </c>
      <c r="H409" s="289"/>
    </row>
    <row r="410" spans="1:9" x14ac:dyDescent="0.5">
      <c r="A410" s="35"/>
      <c r="B410" s="24"/>
      <c r="C410" s="286">
        <f t="shared" si="21"/>
        <v>72731698.959999993</v>
      </c>
      <c r="D410" s="287"/>
      <c r="E410" s="24" t="s">
        <v>54</v>
      </c>
      <c r="F410" s="38"/>
      <c r="G410" s="288">
        <v>0</v>
      </c>
      <c r="H410" s="289"/>
    </row>
    <row r="411" spans="1:9" x14ac:dyDescent="0.5">
      <c r="A411" s="35"/>
      <c r="B411" s="24"/>
      <c r="C411" s="286" t="e">
        <f t="shared" si="21"/>
        <v>#REF!</v>
      </c>
      <c r="D411" s="287"/>
      <c r="E411" s="24" t="s">
        <v>92</v>
      </c>
      <c r="F411" s="38" t="s">
        <v>93</v>
      </c>
      <c r="G411" s="288"/>
      <c r="H411" s="289"/>
    </row>
    <row r="412" spans="1:9" x14ac:dyDescent="0.5">
      <c r="A412" s="35"/>
      <c r="B412" s="24"/>
      <c r="C412" s="286" t="e">
        <f t="shared" si="21"/>
        <v>#REF!</v>
      </c>
      <c r="D412" s="287"/>
      <c r="E412" s="24" t="s">
        <v>174</v>
      </c>
      <c r="F412" s="38" t="s">
        <v>128</v>
      </c>
      <c r="G412" s="288">
        <v>0</v>
      </c>
      <c r="H412" s="289"/>
    </row>
    <row r="413" spans="1:9" x14ac:dyDescent="0.5">
      <c r="A413" s="35"/>
      <c r="B413" s="24"/>
      <c r="C413" s="286">
        <f>C363+G413</f>
        <v>26483.72</v>
      </c>
      <c r="D413" s="287"/>
      <c r="E413" s="24" t="s">
        <v>334</v>
      </c>
      <c r="F413" s="38" t="s">
        <v>335</v>
      </c>
      <c r="G413" s="288">
        <v>8886.86</v>
      </c>
      <c r="H413" s="289"/>
    </row>
    <row r="414" spans="1:9" x14ac:dyDescent="0.5">
      <c r="A414" s="35"/>
      <c r="B414" s="24"/>
      <c r="C414" s="290" t="e">
        <f>SUM(C386:C413)</f>
        <v>#REF!</v>
      </c>
      <c r="D414" s="291"/>
      <c r="E414" s="24"/>
      <c r="F414" s="38"/>
      <c r="G414" s="292" t="e">
        <f>SUM(G386:G413)</f>
        <v>#REF!</v>
      </c>
      <c r="H414" s="293"/>
    </row>
    <row r="415" spans="1:9" ht="24" thickBot="1" x14ac:dyDescent="0.55000000000000004">
      <c r="A415" s="35"/>
      <c r="C415" s="294" t="e">
        <f>C384+C414</f>
        <v>#REF!</v>
      </c>
      <c r="D415" s="295"/>
      <c r="E415" s="112" t="s">
        <v>35</v>
      </c>
      <c r="F415" s="34"/>
      <c r="G415" s="294" t="e">
        <f>G384+G414</f>
        <v>#REF!</v>
      </c>
      <c r="H415" s="295"/>
      <c r="I415" s="21"/>
    </row>
    <row r="416" spans="1:9" ht="24" thickTop="1" x14ac:dyDescent="0.5">
      <c r="A416" s="300" t="s">
        <v>95</v>
      </c>
      <c r="B416" s="300"/>
      <c r="C416" s="300"/>
      <c r="D416" s="300"/>
      <c r="E416" s="300"/>
      <c r="F416" s="300"/>
      <c r="G416" s="300"/>
      <c r="H416" s="300"/>
    </row>
    <row r="417" spans="1:9" x14ac:dyDescent="0.5">
      <c r="A417" s="300" t="s">
        <v>147</v>
      </c>
      <c r="B417" s="300"/>
      <c r="C417" s="300"/>
      <c r="D417" s="300"/>
      <c r="E417" s="300"/>
      <c r="F417" s="300"/>
      <c r="G417" s="300"/>
      <c r="H417" s="300"/>
    </row>
    <row r="418" spans="1:9" x14ac:dyDescent="0.5">
      <c r="A418" s="20"/>
      <c r="B418" s="1"/>
      <c r="C418" s="1"/>
      <c r="D418" s="1"/>
      <c r="E418" s="1"/>
      <c r="F418" s="301" t="s">
        <v>173</v>
      </c>
      <c r="G418" s="301"/>
      <c r="H418" s="301"/>
    </row>
    <row r="419" spans="1:9" x14ac:dyDescent="0.5">
      <c r="A419" s="300" t="s">
        <v>17</v>
      </c>
      <c r="B419" s="300"/>
      <c r="C419" s="300"/>
      <c r="D419" s="300"/>
      <c r="E419" s="300"/>
      <c r="F419" s="300"/>
      <c r="G419" s="300"/>
      <c r="H419" s="300"/>
    </row>
    <row r="420" spans="1:9" ht="24" thickBot="1" x14ac:dyDescent="0.55000000000000004">
      <c r="A420" s="64"/>
      <c r="B420" s="29"/>
      <c r="C420" s="29"/>
      <c r="D420" s="29"/>
      <c r="E420" s="29"/>
      <c r="F420" s="302" t="s">
        <v>363</v>
      </c>
      <c r="G420" s="302"/>
      <c r="H420" s="302"/>
    </row>
    <row r="421" spans="1:9" ht="24" thickTop="1" x14ac:dyDescent="0.5">
      <c r="A421" s="303" t="s">
        <v>18</v>
      </c>
      <c r="B421" s="303"/>
      <c r="C421" s="303"/>
      <c r="D421" s="303"/>
      <c r="E421" s="27"/>
      <c r="F421" s="303" t="s">
        <v>19</v>
      </c>
      <c r="G421" s="303"/>
      <c r="H421" s="303"/>
    </row>
    <row r="422" spans="1:9" x14ac:dyDescent="0.5">
      <c r="A422" s="304" t="s">
        <v>20</v>
      </c>
      <c r="B422" s="305"/>
      <c r="C422" s="306" t="s">
        <v>22</v>
      </c>
      <c r="D422" s="306"/>
      <c r="E422" s="307" t="s">
        <v>0</v>
      </c>
      <c r="F422" s="116" t="s">
        <v>23</v>
      </c>
      <c r="G422" s="304" t="s">
        <v>22</v>
      </c>
      <c r="H422" s="305"/>
    </row>
    <row r="423" spans="1:9" ht="24" thickBot="1" x14ac:dyDescent="0.55000000000000004">
      <c r="A423" s="309" t="s">
        <v>21</v>
      </c>
      <c r="B423" s="310"/>
      <c r="C423" s="311" t="s">
        <v>21</v>
      </c>
      <c r="D423" s="311"/>
      <c r="E423" s="308"/>
      <c r="F423" s="117" t="s">
        <v>24</v>
      </c>
      <c r="G423" s="309" t="s">
        <v>21</v>
      </c>
      <c r="H423" s="310"/>
    </row>
    <row r="424" spans="1:9" ht="24" thickTop="1" x14ac:dyDescent="0.5">
      <c r="A424" s="19"/>
      <c r="B424" s="27"/>
      <c r="C424" s="312">
        <f>C374</f>
        <v>53744181.479999997</v>
      </c>
      <c r="D424" s="313"/>
      <c r="E424" s="14" t="s">
        <v>25</v>
      </c>
      <c r="F424" s="30"/>
      <c r="G424" s="312" t="e">
        <f>'ใบต่อ  55'!#REF!</f>
        <v>#REF!</v>
      </c>
      <c r="H424" s="313"/>
    </row>
    <row r="425" spans="1:9" x14ac:dyDescent="0.5">
      <c r="A425" s="8"/>
      <c r="B425" s="6"/>
      <c r="C425" s="298"/>
      <c r="D425" s="299"/>
      <c r="E425" s="14" t="s">
        <v>43</v>
      </c>
      <c r="F425" s="31" t="s">
        <v>71</v>
      </c>
      <c r="G425" s="298"/>
      <c r="H425" s="299"/>
    </row>
    <row r="426" spans="1:9" x14ac:dyDescent="0.5">
      <c r="A426" s="8">
        <v>3227000</v>
      </c>
      <c r="B426" s="5" t="s">
        <v>16</v>
      </c>
      <c r="C426" s="298">
        <f t="shared" ref="C426:C430" si="22">C376+G426</f>
        <v>1939131.55</v>
      </c>
      <c r="D426" s="299"/>
      <c r="E426" s="14" t="s">
        <v>26</v>
      </c>
      <c r="F426" s="31" t="s">
        <v>77</v>
      </c>
      <c r="G426" s="298">
        <v>52665.68</v>
      </c>
      <c r="H426" s="299"/>
    </row>
    <row r="427" spans="1:9" x14ac:dyDescent="0.5">
      <c r="A427" s="8">
        <v>1105000</v>
      </c>
      <c r="B427" s="5" t="s">
        <v>16</v>
      </c>
      <c r="C427" s="298">
        <f t="shared" si="22"/>
        <v>989968</v>
      </c>
      <c r="D427" s="299"/>
      <c r="E427" s="14" t="s">
        <v>27</v>
      </c>
      <c r="F427" s="31" t="s">
        <v>78</v>
      </c>
      <c r="G427" s="298">
        <v>109951</v>
      </c>
      <c r="H427" s="299"/>
    </row>
    <row r="428" spans="1:9" x14ac:dyDescent="0.5">
      <c r="A428" s="8">
        <v>151000</v>
      </c>
      <c r="B428" s="5" t="s">
        <v>16</v>
      </c>
      <c r="C428" s="298">
        <f t="shared" si="22"/>
        <v>529599.4</v>
      </c>
      <c r="D428" s="299"/>
      <c r="E428" s="14" t="s">
        <v>28</v>
      </c>
      <c r="F428" s="31" t="s">
        <v>79</v>
      </c>
      <c r="G428" s="298">
        <v>128770.07</v>
      </c>
      <c r="H428" s="299"/>
    </row>
    <row r="429" spans="1:9" x14ac:dyDescent="0.5">
      <c r="A429" s="8">
        <v>1000</v>
      </c>
      <c r="B429" s="5" t="s">
        <v>16</v>
      </c>
      <c r="C429" s="298">
        <f t="shared" si="22"/>
        <v>0</v>
      </c>
      <c r="D429" s="299"/>
      <c r="E429" s="14" t="s">
        <v>29</v>
      </c>
      <c r="F429" s="31" t="s">
        <v>81</v>
      </c>
      <c r="G429" s="298"/>
      <c r="H429" s="299"/>
    </row>
    <row r="430" spans="1:9" x14ac:dyDescent="0.5">
      <c r="A430" s="8">
        <v>147000</v>
      </c>
      <c r="B430" s="5" t="s">
        <v>16</v>
      </c>
      <c r="C430" s="298">
        <f t="shared" si="22"/>
        <v>87575</v>
      </c>
      <c r="D430" s="299"/>
      <c r="E430" s="14" t="s">
        <v>30</v>
      </c>
      <c r="F430" s="31" t="s">
        <v>80</v>
      </c>
      <c r="G430" s="298">
        <v>5285</v>
      </c>
      <c r="H430" s="299"/>
    </row>
    <row r="431" spans="1:9" x14ac:dyDescent="0.5">
      <c r="A431" s="2">
        <v>1000</v>
      </c>
      <c r="B431" s="5"/>
      <c r="C431" s="298"/>
      <c r="D431" s="299"/>
      <c r="E431" s="14" t="s">
        <v>31</v>
      </c>
      <c r="F431" s="31" t="s">
        <v>82</v>
      </c>
      <c r="G431" s="298"/>
      <c r="H431" s="299"/>
    </row>
    <row r="432" spans="1:9" x14ac:dyDescent="0.5">
      <c r="A432" s="8">
        <v>51768000</v>
      </c>
      <c r="B432" s="5" t="s">
        <v>16</v>
      </c>
      <c r="C432" s="298">
        <f t="shared" ref="C432:C433" si="23">C382+G432</f>
        <v>59903402.499999993</v>
      </c>
      <c r="D432" s="299"/>
      <c r="E432" s="14" t="s">
        <v>32</v>
      </c>
      <c r="F432" s="31" t="s">
        <v>83</v>
      </c>
      <c r="G432" s="298">
        <v>5551008.1699999999</v>
      </c>
      <c r="H432" s="299"/>
      <c r="I432" s="18">
        <f>C433+21092694</f>
        <v>69367673</v>
      </c>
    </row>
    <row r="433" spans="1:9" x14ac:dyDescent="0.5">
      <c r="A433" s="8">
        <v>25800000</v>
      </c>
      <c r="B433" s="5" t="s">
        <v>16</v>
      </c>
      <c r="C433" s="298">
        <f t="shared" si="23"/>
        <v>48274979</v>
      </c>
      <c r="D433" s="299"/>
      <c r="E433" s="14" t="s">
        <v>13</v>
      </c>
      <c r="F433" s="31" t="s">
        <v>84</v>
      </c>
      <c r="G433" s="298"/>
      <c r="H433" s="299"/>
    </row>
    <row r="434" spans="1:9" ht="24" thickBot="1" x14ac:dyDescent="0.55000000000000004">
      <c r="A434" s="69">
        <f>SUM(A426:A433)</f>
        <v>82200000</v>
      </c>
      <c r="B434" s="65" t="s">
        <v>16</v>
      </c>
      <c r="C434" s="294">
        <f>SUM(C426:C433)</f>
        <v>111724655.44999999</v>
      </c>
      <c r="D434" s="295"/>
      <c r="F434" s="31"/>
      <c r="G434" s="294">
        <f>SUM(G426:G433)</f>
        <v>5847679.9199999999</v>
      </c>
      <c r="H434" s="295"/>
    </row>
    <row r="435" spans="1:9" ht="24" thickTop="1" x14ac:dyDescent="0.5">
      <c r="A435" s="35"/>
      <c r="B435" s="24"/>
      <c r="C435" s="296"/>
      <c r="D435" s="297"/>
      <c r="E435" s="47" t="s">
        <v>134</v>
      </c>
      <c r="F435" s="38"/>
      <c r="G435" s="296">
        <v>0</v>
      </c>
      <c r="H435" s="297"/>
      <c r="I435" s="18">
        <f>G434+G440+G442</f>
        <v>5866399.9199999999</v>
      </c>
    </row>
    <row r="436" spans="1:9" x14ac:dyDescent="0.5">
      <c r="A436" s="35"/>
      <c r="B436" s="24"/>
      <c r="C436" s="286">
        <f t="shared" ref="C436:C462" si="24">C386+G436</f>
        <v>13462800</v>
      </c>
      <c r="D436" s="287"/>
      <c r="E436" s="24" t="s">
        <v>155</v>
      </c>
      <c r="F436" s="38"/>
      <c r="G436" s="286">
        <v>0</v>
      </c>
      <c r="H436" s="287"/>
    </row>
    <row r="437" spans="1:9" x14ac:dyDescent="0.5">
      <c r="A437" s="35"/>
      <c r="B437" s="24"/>
      <c r="C437" s="286">
        <f t="shared" si="24"/>
        <v>1968500</v>
      </c>
      <c r="D437" s="287"/>
      <c r="E437" s="24" t="s">
        <v>156</v>
      </c>
      <c r="F437" s="38"/>
      <c r="G437" s="286">
        <v>0</v>
      </c>
      <c r="H437" s="287"/>
    </row>
    <row r="438" spans="1:9" x14ac:dyDescent="0.5">
      <c r="A438" s="35"/>
      <c r="B438" s="24"/>
      <c r="C438" s="286">
        <f t="shared" si="24"/>
        <v>0</v>
      </c>
      <c r="D438" s="287"/>
      <c r="E438" s="47" t="s">
        <v>135</v>
      </c>
      <c r="F438" s="38"/>
      <c r="G438" s="288"/>
      <c r="H438" s="289"/>
    </row>
    <row r="439" spans="1:9" x14ac:dyDescent="0.5">
      <c r="A439" s="35"/>
      <c r="B439" s="24"/>
      <c r="C439" s="286">
        <f t="shared" si="24"/>
        <v>150000</v>
      </c>
      <c r="D439" s="287"/>
      <c r="E439" s="24" t="s">
        <v>157</v>
      </c>
      <c r="F439" s="38"/>
      <c r="G439" s="286">
        <v>15000</v>
      </c>
      <c r="H439" s="287"/>
    </row>
    <row r="440" spans="1:9" x14ac:dyDescent="0.5">
      <c r="A440" s="35"/>
      <c r="B440" s="24"/>
      <c r="C440" s="286">
        <f t="shared" si="24"/>
        <v>180000</v>
      </c>
      <c r="D440" s="287"/>
      <c r="E440" s="24" t="s">
        <v>158</v>
      </c>
      <c r="F440" s="38"/>
      <c r="G440" s="286">
        <v>18000</v>
      </c>
      <c r="H440" s="287"/>
      <c r="I440" s="18">
        <f>G439+G440</f>
        <v>33000</v>
      </c>
    </row>
    <row r="441" spans="1:9" x14ac:dyDescent="0.5">
      <c r="A441" s="35"/>
      <c r="B441" s="24"/>
      <c r="C441" s="286">
        <f t="shared" si="24"/>
        <v>51086</v>
      </c>
      <c r="D441" s="287"/>
      <c r="E441" s="24" t="s">
        <v>160</v>
      </c>
      <c r="F441" s="38"/>
      <c r="G441" s="286">
        <f>34210+4700+3000</f>
        <v>41910</v>
      </c>
      <c r="H441" s="287"/>
    </row>
    <row r="442" spans="1:9" x14ac:dyDescent="0.5">
      <c r="A442" s="35"/>
      <c r="B442" s="24"/>
      <c r="C442" s="286">
        <f t="shared" si="24"/>
        <v>7740</v>
      </c>
      <c r="D442" s="287"/>
      <c r="E442" s="24" t="s">
        <v>159</v>
      </c>
      <c r="F442" s="38"/>
      <c r="G442" s="286">
        <v>720</v>
      </c>
      <c r="H442" s="287"/>
      <c r="I442" s="111">
        <f>G434+G439+G440+G441+G442</f>
        <v>5923309.9199999999</v>
      </c>
    </row>
    <row r="443" spans="1:9" x14ac:dyDescent="0.5">
      <c r="A443" s="35"/>
      <c r="B443" s="24"/>
      <c r="C443" s="286">
        <f t="shared" si="24"/>
        <v>1168158</v>
      </c>
      <c r="D443" s="287"/>
      <c r="E443" s="24" t="s">
        <v>286</v>
      </c>
      <c r="F443" s="38"/>
      <c r="G443" s="286">
        <v>0</v>
      </c>
      <c r="H443" s="287"/>
    </row>
    <row r="444" spans="1:9" x14ac:dyDescent="0.5">
      <c r="A444" s="35"/>
      <c r="B444" s="24"/>
      <c r="C444" s="286">
        <f t="shared" si="24"/>
        <v>3873783.42</v>
      </c>
      <c r="D444" s="287"/>
      <c r="E444" s="24" t="s">
        <v>290</v>
      </c>
      <c r="F444" s="38"/>
      <c r="G444" s="286">
        <v>0</v>
      </c>
      <c r="H444" s="287"/>
    </row>
    <row r="445" spans="1:9" x14ac:dyDescent="0.5">
      <c r="A445" s="35"/>
      <c r="B445" s="24"/>
      <c r="C445" s="286">
        <f t="shared" si="24"/>
        <v>277088</v>
      </c>
      <c r="D445" s="287"/>
      <c r="E445" s="24" t="s">
        <v>291</v>
      </c>
      <c r="F445" s="38"/>
      <c r="G445" s="286">
        <v>0</v>
      </c>
      <c r="H445" s="287"/>
    </row>
    <row r="446" spans="1:9" x14ac:dyDescent="0.5">
      <c r="A446" s="35"/>
      <c r="B446" s="24"/>
      <c r="C446" s="286">
        <f t="shared" si="24"/>
        <v>25500</v>
      </c>
      <c r="D446" s="287"/>
      <c r="E446" s="24" t="s">
        <v>313</v>
      </c>
      <c r="F446" s="38"/>
      <c r="G446" s="286">
        <v>0</v>
      </c>
      <c r="H446" s="287"/>
    </row>
    <row r="447" spans="1:9" x14ac:dyDescent="0.5">
      <c r="A447" s="35"/>
      <c r="B447" s="24"/>
      <c r="C447" s="286" t="e">
        <f t="shared" si="24"/>
        <v>#REF!</v>
      </c>
      <c r="D447" s="287"/>
      <c r="E447" s="24" t="s">
        <v>33</v>
      </c>
      <c r="F447" s="38" t="s">
        <v>74</v>
      </c>
      <c r="G447" s="288" t="e">
        <f>'รายละเอียด(หมายเหตุ2)'!#REF!</f>
        <v>#REF!</v>
      </c>
      <c r="H447" s="289"/>
    </row>
    <row r="448" spans="1:9" x14ac:dyDescent="0.5">
      <c r="A448" s="35"/>
      <c r="B448" s="24"/>
      <c r="C448" s="286">
        <f t="shared" si="24"/>
        <v>837420</v>
      </c>
      <c r="D448" s="287"/>
      <c r="E448" s="24" t="s">
        <v>34</v>
      </c>
      <c r="F448" s="38" t="s">
        <v>61</v>
      </c>
      <c r="G448" s="288">
        <f>30000+5806+5806+15120+7770+2006+7200</f>
        <v>73708</v>
      </c>
      <c r="H448" s="289"/>
    </row>
    <row r="449" spans="1:8" x14ac:dyDescent="0.5">
      <c r="A449" s="35"/>
      <c r="B449" s="24"/>
      <c r="C449" s="286">
        <f t="shared" si="24"/>
        <v>1550320</v>
      </c>
      <c r="D449" s="287"/>
      <c r="E449" s="24" t="s">
        <v>56</v>
      </c>
      <c r="F449" s="38" t="s">
        <v>60</v>
      </c>
      <c r="G449" s="288">
        <v>0</v>
      </c>
      <c r="H449" s="289"/>
    </row>
    <row r="450" spans="1:8" x14ac:dyDescent="0.5">
      <c r="A450" s="35"/>
      <c r="B450" s="24"/>
      <c r="C450" s="286">
        <f t="shared" si="24"/>
        <v>29433.200000000001</v>
      </c>
      <c r="D450" s="287"/>
      <c r="E450" s="24" t="s">
        <v>137</v>
      </c>
      <c r="F450" s="38" t="s">
        <v>141</v>
      </c>
      <c r="G450" s="288">
        <v>3000</v>
      </c>
      <c r="H450" s="289"/>
    </row>
    <row r="451" spans="1:8" x14ac:dyDescent="0.5">
      <c r="A451" s="35"/>
      <c r="B451" s="24"/>
      <c r="C451" s="286">
        <f t="shared" si="24"/>
        <v>4800</v>
      </c>
      <c r="D451" s="287"/>
      <c r="E451" s="24" t="s">
        <v>102</v>
      </c>
      <c r="F451" s="38" t="s">
        <v>142</v>
      </c>
      <c r="G451" s="288">
        <v>3000</v>
      </c>
      <c r="H451" s="289"/>
    </row>
    <row r="452" spans="1:8" x14ac:dyDescent="0.5">
      <c r="A452" s="35"/>
      <c r="B452" s="24"/>
      <c r="C452" s="286">
        <f t="shared" si="24"/>
        <v>2100</v>
      </c>
      <c r="D452" s="287"/>
      <c r="E452" s="24" t="s">
        <v>138</v>
      </c>
      <c r="F452" s="38" t="s">
        <v>143</v>
      </c>
      <c r="G452" s="288">
        <v>0</v>
      </c>
      <c r="H452" s="289"/>
    </row>
    <row r="453" spans="1:8" x14ac:dyDescent="0.5">
      <c r="A453" s="35"/>
      <c r="B453" s="24"/>
      <c r="C453" s="286">
        <f t="shared" si="24"/>
        <v>610639</v>
      </c>
      <c r="D453" s="287"/>
      <c r="E453" s="24" t="s">
        <v>125</v>
      </c>
      <c r="F453" s="38" t="s">
        <v>144</v>
      </c>
      <c r="G453" s="288">
        <v>0</v>
      </c>
      <c r="H453" s="289"/>
    </row>
    <row r="454" spans="1:8" x14ac:dyDescent="0.5">
      <c r="A454" s="35"/>
      <c r="B454" s="24"/>
      <c r="C454" s="286">
        <f t="shared" si="24"/>
        <v>4750.17</v>
      </c>
      <c r="D454" s="287"/>
      <c r="E454" s="24" t="s">
        <v>139</v>
      </c>
      <c r="F454" s="38" t="s">
        <v>146</v>
      </c>
      <c r="G454" s="288">
        <v>0</v>
      </c>
      <c r="H454" s="289"/>
    </row>
    <row r="455" spans="1:8" x14ac:dyDescent="0.5">
      <c r="A455" s="35"/>
      <c r="B455" s="24"/>
      <c r="C455" s="286">
        <f t="shared" si="24"/>
        <v>8.14</v>
      </c>
      <c r="D455" s="287"/>
      <c r="E455" s="24" t="s">
        <v>115</v>
      </c>
      <c r="F455" s="38" t="s">
        <v>140</v>
      </c>
      <c r="G455" s="288">
        <v>0</v>
      </c>
      <c r="H455" s="289"/>
    </row>
    <row r="456" spans="1:8" x14ac:dyDescent="0.5">
      <c r="A456" s="35"/>
      <c r="B456" s="24"/>
      <c r="C456" s="286">
        <f t="shared" si="24"/>
        <v>13700</v>
      </c>
      <c r="D456" s="287"/>
      <c r="E456" s="24" t="s">
        <v>180</v>
      </c>
      <c r="F456" s="38"/>
      <c r="G456" s="288">
        <v>0</v>
      </c>
      <c r="H456" s="289"/>
    </row>
    <row r="457" spans="1:8" x14ac:dyDescent="0.5">
      <c r="A457" s="35"/>
      <c r="B457" s="24"/>
      <c r="C457" s="286">
        <f t="shared" si="24"/>
        <v>1194.8399999999999</v>
      </c>
      <c r="D457" s="287"/>
      <c r="E457" s="24" t="s">
        <v>111</v>
      </c>
      <c r="F457" s="38" t="s">
        <v>75</v>
      </c>
      <c r="G457" s="288">
        <v>0</v>
      </c>
      <c r="H457" s="289"/>
    </row>
    <row r="458" spans="1:8" x14ac:dyDescent="0.5">
      <c r="A458" s="35"/>
      <c r="B458" s="24"/>
      <c r="C458" s="286">
        <f t="shared" si="24"/>
        <v>0</v>
      </c>
      <c r="D458" s="287"/>
      <c r="E458" s="24" t="s">
        <v>114</v>
      </c>
      <c r="F458" s="38"/>
      <c r="G458" s="288">
        <v>0</v>
      </c>
      <c r="H458" s="289"/>
    </row>
    <row r="459" spans="1:8" x14ac:dyDescent="0.5">
      <c r="A459" s="35"/>
      <c r="B459" s="24"/>
      <c r="C459" s="286">
        <f t="shared" si="24"/>
        <v>17809122.91</v>
      </c>
      <c r="D459" s="287"/>
      <c r="E459" s="24" t="s">
        <v>15</v>
      </c>
      <c r="F459" s="38" t="s">
        <v>309</v>
      </c>
      <c r="G459" s="288">
        <v>0</v>
      </c>
      <c r="H459" s="289"/>
    </row>
    <row r="460" spans="1:8" x14ac:dyDescent="0.5">
      <c r="A460" s="35"/>
      <c r="B460" s="24"/>
      <c r="C460" s="286">
        <f t="shared" si="24"/>
        <v>72731698.959999993</v>
      </c>
      <c r="D460" s="287"/>
      <c r="E460" s="24" t="s">
        <v>54</v>
      </c>
      <c r="F460" s="38"/>
      <c r="G460" s="288">
        <v>0</v>
      </c>
      <c r="H460" s="289"/>
    </row>
    <row r="461" spans="1:8" x14ac:dyDescent="0.5">
      <c r="A461" s="35"/>
      <c r="B461" s="24"/>
      <c r="C461" s="286" t="e">
        <f t="shared" si="24"/>
        <v>#REF!</v>
      </c>
      <c r="D461" s="287"/>
      <c r="E461" s="24" t="s">
        <v>92</v>
      </c>
      <c r="F461" s="38" t="s">
        <v>93</v>
      </c>
      <c r="G461" s="288"/>
      <c r="H461" s="289"/>
    </row>
    <row r="462" spans="1:8" x14ac:dyDescent="0.5">
      <c r="A462" s="35"/>
      <c r="B462" s="24"/>
      <c r="C462" s="286" t="e">
        <f t="shared" si="24"/>
        <v>#REF!</v>
      </c>
      <c r="D462" s="287"/>
      <c r="E462" s="24" t="s">
        <v>174</v>
      </c>
      <c r="F462" s="38" t="s">
        <v>128</v>
      </c>
      <c r="G462" s="288">
        <v>0</v>
      </c>
      <c r="H462" s="289"/>
    </row>
    <row r="463" spans="1:8" x14ac:dyDescent="0.5">
      <c r="A463" s="35"/>
      <c r="B463" s="24"/>
      <c r="C463" s="286">
        <f>C413+G463</f>
        <v>26483.72</v>
      </c>
      <c r="D463" s="287"/>
      <c r="E463" s="24" t="s">
        <v>334</v>
      </c>
      <c r="F463" s="38" t="s">
        <v>335</v>
      </c>
      <c r="G463" s="288">
        <v>0</v>
      </c>
      <c r="H463" s="289"/>
    </row>
    <row r="464" spans="1:8" x14ac:dyDescent="0.5">
      <c r="A464" s="35"/>
      <c r="B464" s="24"/>
      <c r="C464" s="290" t="e">
        <f>SUM(C436:C463)</f>
        <v>#REF!</v>
      </c>
      <c r="D464" s="291"/>
      <c r="E464" s="24"/>
      <c r="F464" s="38"/>
      <c r="G464" s="292" t="e">
        <f>SUM(G436:G463)</f>
        <v>#REF!</v>
      </c>
      <c r="H464" s="293"/>
    </row>
    <row r="465" spans="1:9" ht="24" thickBot="1" x14ac:dyDescent="0.55000000000000004">
      <c r="A465" s="35"/>
      <c r="C465" s="294" t="e">
        <f>C434+C464</f>
        <v>#REF!</v>
      </c>
      <c r="D465" s="295"/>
      <c r="E465" s="115" t="s">
        <v>35</v>
      </c>
      <c r="F465" s="34"/>
      <c r="G465" s="294" t="e">
        <f>G434+G464</f>
        <v>#REF!</v>
      </c>
      <c r="H465" s="295"/>
      <c r="I465" s="21"/>
    </row>
    <row r="466" spans="1:9" ht="24" thickTop="1" x14ac:dyDescent="0.5">
      <c r="A466" s="300" t="s">
        <v>95</v>
      </c>
      <c r="B466" s="300"/>
      <c r="C466" s="300"/>
      <c r="D466" s="300"/>
      <c r="E466" s="300"/>
      <c r="F466" s="300"/>
      <c r="G466" s="300"/>
      <c r="H466" s="300"/>
    </row>
    <row r="467" spans="1:9" x14ac:dyDescent="0.5">
      <c r="A467" s="300" t="s">
        <v>147</v>
      </c>
      <c r="B467" s="300"/>
      <c r="C467" s="300"/>
      <c r="D467" s="300"/>
      <c r="E467" s="300"/>
      <c r="F467" s="300"/>
      <c r="G467" s="300"/>
      <c r="H467" s="300"/>
    </row>
    <row r="468" spans="1:9" x14ac:dyDescent="0.5">
      <c r="A468" s="20"/>
      <c r="B468" s="1"/>
      <c r="C468" s="1"/>
      <c r="D468" s="1"/>
      <c r="E468" s="1"/>
      <c r="F468" s="301" t="s">
        <v>173</v>
      </c>
      <c r="G468" s="301"/>
      <c r="H468" s="301"/>
    </row>
    <row r="469" spans="1:9" x14ac:dyDescent="0.5">
      <c r="A469" s="300" t="s">
        <v>17</v>
      </c>
      <c r="B469" s="300"/>
      <c r="C469" s="300"/>
      <c r="D469" s="300"/>
      <c r="E469" s="300"/>
      <c r="F469" s="300"/>
      <c r="G469" s="300"/>
      <c r="H469" s="300"/>
    </row>
    <row r="470" spans="1:9" ht="24" thickBot="1" x14ac:dyDescent="0.55000000000000004">
      <c r="A470" s="64"/>
      <c r="B470" s="29"/>
      <c r="C470" s="29"/>
      <c r="D470" s="29"/>
      <c r="E470" s="29"/>
      <c r="F470" s="302" t="s">
        <v>382</v>
      </c>
      <c r="G470" s="302"/>
      <c r="H470" s="302"/>
    </row>
    <row r="471" spans="1:9" ht="24" thickTop="1" x14ac:dyDescent="0.5">
      <c r="A471" s="303" t="s">
        <v>18</v>
      </c>
      <c r="B471" s="303"/>
      <c r="C471" s="303"/>
      <c r="D471" s="303"/>
      <c r="E471" s="27"/>
      <c r="F471" s="303" t="s">
        <v>19</v>
      </c>
      <c r="G471" s="303"/>
      <c r="H471" s="303"/>
    </row>
    <row r="472" spans="1:9" x14ac:dyDescent="0.5">
      <c r="A472" s="304" t="s">
        <v>20</v>
      </c>
      <c r="B472" s="305"/>
      <c r="C472" s="306" t="s">
        <v>22</v>
      </c>
      <c r="D472" s="306"/>
      <c r="E472" s="307" t="s">
        <v>0</v>
      </c>
      <c r="F472" s="121" t="s">
        <v>23</v>
      </c>
      <c r="G472" s="304" t="s">
        <v>22</v>
      </c>
      <c r="H472" s="305"/>
    </row>
    <row r="473" spans="1:9" ht="24" thickBot="1" x14ac:dyDescent="0.55000000000000004">
      <c r="A473" s="309" t="s">
        <v>21</v>
      </c>
      <c r="B473" s="310"/>
      <c r="C473" s="311" t="s">
        <v>21</v>
      </c>
      <c r="D473" s="311"/>
      <c r="E473" s="308"/>
      <c r="F473" s="122" t="s">
        <v>24</v>
      </c>
      <c r="G473" s="309" t="s">
        <v>21</v>
      </c>
      <c r="H473" s="310"/>
    </row>
    <row r="474" spans="1:9" ht="24" thickTop="1" x14ac:dyDescent="0.5">
      <c r="A474" s="19"/>
      <c r="B474" s="27"/>
      <c r="C474" s="312">
        <f>C424</f>
        <v>53744181.479999997</v>
      </c>
      <c r="D474" s="313"/>
      <c r="E474" s="14" t="s">
        <v>25</v>
      </c>
      <c r="F474" s="30"/>
      <c r="G474" s="312" t="e">
        <f>'ใบต่อ  55'!#REF!</f>
        <v>#REF!</v>
      </c>
      <c r="H474" s="313"/>
    </row>
    <row r="475" spans="1:9" x14ac:dyDescent="0.5">
      <c r="A475" s="8"/>
      <c r="B475" s="6"/>
      <c r="C475" s="298"/>
      <c r="D475" s="299"/>
      <c r="E475" s="14" t="s">
        <v>43</v>
      </c>
      <c r="F475" s="31" t="s">
        <v>71</v>
      </c>
      <c r="G475" s="298"/>
      <c r="H475" s="299"/>
    </row>
    <row r="476" spans="1:9" x14ac:dyDescent="0.5">
      <c r="A476" s="8">
        <v>3227000</v>
      </c>
      <c r="B476" s="5" t="s">
        <v>16</v>
      </c>
      <c r="C476" s="298">
        <f>C426+G476</f>
        <v>1947136.82</v>
      </c>
      <c r="D476" s="299"/>
      <c r="E476" s="14" t="s">
        <v>26</v>
      </c>
      <c r="F476" s="31" t="s">
        <v>77</v>
      </c>
      <c r="G476" s="298">
        <f>1741+112.27+3680+2472</f>
        <v>8005.27</v>
      </c>
      <c r="H476" s="299"/>
    </row>
    <row r="477" spans="1:9" x14ac:dyDescent="0.5">
      <c r="A477" s="8">
        <v>1105000</v>
      </c>
      <c r="B477" s="5" t="s">
        <v>16</v>
      </c>
      <c r="C477" s="298">
        <f>C427+G477</f>
        <v>1063149</v>
      </c>
      <c r="D477" s="299"/>
      <c r="E477" s="14" t="s">
        <v>27</v>
      </c>
      <c r="F477" s="31" t="s">
        <v>78</v>
      </c>
      <c r="G477" s="298">
        <f>100+61380+3200+1030+2370+290+3650+881+280</f>
        <v>73181</v>
      </c>
      <c r="H477" s="299"/>
    </row>
    <row r="478" spans="1:9" x14ac:dyDescent="0.5">
      <c r="A478" s="8">
        <v>151000</v>
      </c>
      <c r="B478" s="5" t="s">
        <v>16</v>
      </c>
      <c r="C478" s="298">
        <f>C428+G478</f>
        <v>568431.1</v>
      </c>
      <c r="D478" s="299"/>
      <c r="E478" s="14" t="s">
        <v>28</v>
      </c>
      <c r="F478" s="31" t="s">
        <v>79</v>
      </c>
      <c r="G478" s="298">
        <f>20000+18831.7</f>
        <v>38831.699999999997</v>
      </c>
      <c r="H478" s="299"/>
    </row>
    <row r="479" spans="1:9" x14ac:dyDescent="0.5">
      <c r="A479" s="8">
        <v>1000</v>
      </c>
      <c r="B479" s="5" t="s">
        <v>16</v>
      </c>
      <c r="C479" s="298">
        <f>C429+G479</f>
        <v>0</v>
      </c>
      <c r="D479" s="299"/>
      <c r="E479" s="14" t="s">
        <v>29</v>
      </c>
      <c r="F479" s="31" t="s">
        <v>81</v>
      </c>
      <c r="G479" s="298"/>
      <c r="H479" s="299"/>
    </row>
    <row r="480" spans="1:9" x14ac:dyDescent="0.5">
      <c r="A480" s="8">
        <v>147000</v>
      </c>
      <c r="B480" s="5" t="s">
        <v>16</v>
      </c>
      <c r="C480" s="298">
        <f>C430+G480</f>
        <v>90568</v>
      </c>
      <c r="D480" s="299"/>
      <c r="E480" s="14" t="s">
        <v>30</v>
      </c>
      <c r="F480" s="31" t="s">
        <v>80</v>
      </c>
      <c r="G480" s="298">
        <f>22+600+371+2000</f>
        <v>2993</v>
      </c>
      <c r="H480" s="299"/>
      <c r="I480" s="18">
        <f>G476+G477+G478+G480</f>
        <v>123010.97</v>
      </c>
    </row>
    <row r="481" spans="1:8" x14ac:dyDescent="0.5">
      <c r="A481" s="2">
        <v>1000</v>
      </c>
      <c r="B481" s="5"/>
      <c r="C481" s="298"/>
      <c r="D481" s="299"/>
      <c r="E481" s="14" t="s">
        <v>31</v>
      </c>
      <c r="F481" s="31" t="s">
        <v>82</v>
      </c>
      <c r="G481" s="298"/>
      <c r="H481" s="299"/>
    </row>
    <row r="482" spans="1:8" x14ac:dyDescent="0.5">
      <c r="A482" s="8">
        <v>51768000</v>
      </c>
      <c r="B482" s="5" t="s">
        <v>16</v>
      </c>
      <c r="C482" s="298">
        <f>C432+G482</f>
        <v>65116812.399999991</v>
      </c>
      <c r="D482" s="299"/>
      <c r="E482" s="14" t="s">
        <v>32</v>
      </c>
      <c r="F482" s="31" t="s">
        <v>83</v>
      </c>
      <c r="G482" s="298">
        <f>2797357.78+688994.87+256250.13+577462.67+94173.45+799171</f>
        <v>5213409.9000000004</v>
      </c>
      <c r="H482" s="299"/>
    </row>
    <row r="483" spans="1:8" x14ac:dyDescent="0.5">
      <c r="A483" s="8">
        <v>25800000</v>
      </c>
      <c r="B483" s="5" t="s">
        <v>16</v>
      </c>
      <c r="C483" s="298">
        <f>C433+G483</f>
        <v>48396379</v>
      </c>
      <c r="D483" s="299"/>
      <c r="E483" s="14" t="s">
        <v>13</v>
      </c>
      <c r="F483" s="31" t="s">
        <v>84</v>
      </c>
      <c r="G483" s="298">
        <v>121400</v>
      </c>
      <c r="H483" s="299"/>
    </row>
    <row r="484" spans="1:8" ht="24" thickBot="1" x14ac:dyDescent="0.55000000000000004">
      <c r="A484" s="69">
        <f>SUM(A476:A483)</f>
        <v>82200000</v>
      </c>
      <c r="B484" s="65" t="s">
        <v>16</v>
      </c>
      <c r="C484" s="294">
        <f>SUM(C476:C483)</f>
        <v>117182476.31999999</v>
      </c>
      <c r="D484" s="295"/>
      <c r="F484" s="31"/>
      <c r="G484" s="294">
        <f>SUM(G476:G483)</f>
        <v>5457820.8700000001</v>
      </c>
      <c r="H484" s="295"/>
    </row>
    <row r="485" spans="1:8" ht="24" thickTop="1" x14ac:dyDescent="0.5">
      <c r="A485" s="35"/>
      <c r="B485" s="24"/>
      <c r="C485" s="296"/>
      <c r="D485" s="297"/>
      <c r="E485" s="47" t="s">
        <v>134</v>
      </c>
      <c r="F485" s="38"/>
      <c r="G485" s="296">
        <v>0</v>
      </c>
      <c r="H485" s="297"/>
    </row>
    <row r="486" spans="1:8" x14ac:dyDescent="0.5">
      <c r="A486" s="35" t="e">
        <f>C484-'ใบต่อ  55'!#REF!</f>
        <v>#REF!</v>
      </c>
      <c r="B486" s="24"/>
      <c r="C486" s="286">
        <f t="shared" ref="C486:C496" si="25">C436+G486</f>
        <v>13462800</v>
      </c>
      <c r="D486" s="287"/>
      <c r="E486" s="24" t="s">
        <v>155</v>
      </c>
      <c r="F486" s="38"/>
      <c r="G486" s="286">
        <v>0</v>
      </c>
      <c r="H486" s="287"/>
    </row>
    <row r="487" spans="1:8" x14ac:dyDescent="0.5">
      <c r="A487" s="35"/>
      <c r="B487" s="24"/>
      <c r="C487" s="286">
        <f t="shared" si="25"/>
        <v>1968500</v>
      </c>
      <c r="D487" s="287"/>
      <c r="E487" s="24" t="s">
        <v>156</v>
      </c>
      <c r="F487" s="38"/>
      <c r="G487" s="286">
        <v>0</v>
      </c>
      <c r="H487" s="287"/>
    </row>
    <row r="488" spans="1:8" x14ac:dyDescent="0.5">
      <c r="A488" s="35"/>
      <c r="B488" s="24"/>
      <c r="C488" s="286">
        <f t="shared" si="25"/>
        <v>0</v>
      </c>
      <c r="D488" s="287"/>
      <c r="E488" s="47" t="s">
        <v>135</v>
      </c>
      <c r="F488" s="38"/>
      <c r="G488" s="288"/>
      <c r="H488" s="289"/>
    </row>
    <row r="489" spans="1:8" x14ac:dyDescent="0.5">
      <c r="A489" s="35"/>
      <c r="B489" s="24"/>
      <c r="C489" s="286">
        <f t="shared" si="25"/>
        <v>165000</v>
      </c>
      <c r="D489" s="287"/>
      <c r="E489" s="24" t="s">
        <v>157</v>
      </c>
      <c r="F489" s="38"/>
      <c r="G489" s="286">
        <v>15000</v>
      </c>
      <c r="H489" s="287"/>
    </row>
    <row r="490" spans="1:8" x14ac:dyDescent="0.5">
      <c r="A490" s="35"/>
      <c r="B490" s="24"/>
      <c r="C490" s="286">
        <f t="shared" si="25"/>
        <v>198000</v>
      </c>
      <c r="D490" s="287"/>
      <c r="E490" s="24" t="s">
        <v>158</v>
      </c>
      <c r="F490" s="38"/>
      <c r="G490" s="286">
        <v>18000</v>
      </c>
      <c r="H490" s="287"/>
    </row>
    <row r="491" spans="1:8" x14ac:dyDescent="0.5">
      <c r="A491" s="35"/>
      <c r="B491" s="24"/>
      <c r="C491" s="286">
        <f t="shared" si="25"/>
        <v>57361</v>
      </c>
      <c r="D491" s="287"/>
      <c r="E491" s="24" t="s">
        <v>160</v>
      </c>
      <c r="F491" s="38"/>
      <c r="G491" s="286">
        <f>1275+5000</f>
        <v>6275</v>
      </c>
      <c r="H491" s="287"/>
    </row>
    <row r="492" spans="1:8" x14ac:dyDescent="0.5">
      <c r="A492" s="35"/>
      <c r="B492" s="24"/>
      <c r="C492" s="286">
        <f t="shared" si="25"/>
        <v>8460</v>
      </c>
      <c r="D492" s="287"/>
      <c r="E492" s="24" t="s">
        <v>159</v>
      </c>
      <c r="F492" s="38"/>
      <c r="G492" s="286">
        <f>720</f>
        <v>720</v>
      </c>
      <c r="H492" s="287"/>
    </row>
    <row r="493" spans="1:8" x14ac:dyDescent="0.5">
      <c r="A493" s="35"/>
      <c r="B493" s="24"/>
      <c r="C493" s="316">
        <f t="shared" si="25"/>
        <v>1168158</v>
      </c>
      <c r="D493" s="317"/>
      <c r="E493" s="24" t="s">
        <v>286</v>
      </c>
      <c r="F493" s="38"/>
      <c r="G493" s="286"/>
      <c r="H493" s="287"/>
    </row>
    <row r="494" spans="1:8" x14ac:dyDescent="0.5">
      <c r="A494" s="35"/>
      <c r="B494" s="24"/>
      <c r="C494" s="316">
        <f t="shared" si="25"/>
        <v>3873783.42</v>
      </c>
      <c r="D494" s="317"/>
      <c r="E494" s="24" t="s">
        <v>290</v>
      </c>
      <c r="F494" s="38"/>
      <c r="G494" s="286">
        <v>0</v>
      </c>
      <c r="H494" s="287"/>
    </row>
    <row r="495" spans="1:8" x14ac:dyDescent="0.5">
      <c r="A495" s="35"/>
      <c r="B495" s="24"/>
      <c r="C495" s="316">
        <f t="shared" si="25"/>
        <v>277088</v>
      </c>
      <c r="D495" s="317"/>
      <c r="E495" s="24" t="s">
        <v>291</v>
      </c>
      <c r="F495" s="38"/>
      <c r="G495" s="286">
        <v>0</v>
      </c>
      <c r="H495" s="287"/>
    </row>
    <row r="496" spans="1:8" x14ac:dyDescent="0.5">
      <c r="A496" s="35"/>
      <c r="B496" s="24"/>
      <c r="C496" s="316">
        <f t="shared" si="25"/>
        <v>25500</v>
      </c>
      <c r="D496" s="317"/>
      <c r="E496" s="24" t="s">
        <v>313</v>
      </c>
      <c r="F496" s="38"/>
      <c r="G496" s="286"/>
      <c r="H496" s="287"/>
    </row>
    <row r="497" spans="1:8" x14ac:dyDescent="0.5">
      <c r="A497" s="35"/>
      <c r="B497" s="24"/>
      <c r="C497" s="316">
        <f>G497</f>
        <v>0</v>
      </c>
      <c r="D497" s="317"/>
      <c r="E497" s="24" t="s">
        <v>447</v>
      </c>
      <c r="F497" s="38"/>
      <c r="G497" s="286"/>
      <c r="H497" s="287"/>
    </row>
    <row r="498" spans="1:8" x14ac:dyDescent="0.5">
      <c r="A498" s="35"/>
      <c r="B498" s="24"/>
      <c r="C498" s="286" t="e">
        <f t="shared" ref="C498:C514" si="26">C447+G498</f>
        <v>#REF!</v>
      </c>
      <c r="D498" s="287"/>
      <c r="E498" s="24" t="s">
        <v>33</v>
      </c>
      <c r="F498" s="38" t="s">
        <v>74</v>
      </c>
      <c r="G498" s="288" t="e">
        <f>'รายละเอียด(หมายเหตุ2)'!#REF!</f>
        <v>#REF!</v>
      </c>
      <c r="H498" s="289"/>
    </row>
    <row r="499" spans="1:8" x14ac:dyDescent="0.5">
      <c r="A499" s="35"/>
      <c r="B499" s="24"/>
      <c r="C499" s="286">
        <f t="shared" si="26"/>
        <v>848970</v>
      </c>
      <c r="D499" s="287"/>
      <c r="E499" s="24" t="s">
        <v>34</v>
      </c>
      <c r="F499" s="38" t="s">
        <v>61</v>
      </c>
      <c r="G499" s="288">
        <f>3000+3550+5000</f>
        <v>11550</v>
      </c>
      <c r="H499" s="289"/>
    </row>
    <row r="500" spans="1:8" x14ac:dyDescent="0.5">
      <c r="A500" s="35"/>
      <c r="B500" s="24"/>
      <c r="C500" s="286">
        <f t="shared" si="26"/>
        <v>2354680</v>
      </c>
      <c r="D500" s="287"/>
      <c r="E500" s="24" t="s">
        <v>56</v>
      </c>
      <c r="F500" s="38" t="s">
        <v>60</v>
      </c>
      <c r="G500" s="288">
        <f>330000+341200+2160+131000</f>
        <v>804360</v>
      </c>
      <c r="H500" s="289"/>
    </row>
    <row r="501" spans="1:8" x14ac:dyDescent="0.5">
      <c r="A501" s="35"/>
      <c r="B501" s="24"/>
      <c r="C501" s="286">
        <f t="shared" si="26"/>
        <v>35433.199999999997</v>
      </c>
      <c r="D501" s="287"/>
      <c r="E501" s="24" t="s">
        <v>137</v>
      </c>
      <c r="F501" s="38" t="s">
        <v>141</v>
      </c>
      <c r="G501" s="288">
        <v>6000</v>
      </c>
      <c r="H501" s="289"/>
    </row>
    <row r="502" spans="1:8" x14ac:dyDescent="0.5">
      <c r="A502" s="35"/>
      <c r="B502" s="24"/>
      <c r="C502" s="286">
        <f t="shared" si="26"/>
        <v>4800</v>
      </c>
      <c r="D502" s="287"/>
      <c r="E502" s="24" t="s">
        <v>102</v>
      </c>
      <c r="F502" s="38" t="s">
        <v>142</v>
      </c>
      <c r="G502" s="288">
        <v>0</v>
      </c>
      <c r="H502" s="289"/>
    </row>
    <row r="503" spans="1:8" x14ac:dyDescent="0.5">
      <c r="A503" s="35"/>
      <c r="B503" s="24"/>
      <c r="C503" s="286">
        <f t="shared" si="26"/>
        <v>2100</v>
      </c>
      <c r="D503" s="287"/>
      <c r="E503" s="24" t="s">
        <v>138</v>
      </c>
      <c r="F503" s="38" t="s">
        <v>143</v>
      </c>
      <c r="G503" s="288">
        <v>0</v>
      </c>
      <c r="H503" s="289"/>
    </row>
    <row r="504" spans="1:8" x14ac:dyDescent="0.5">
      <c r="A504" s="35"/>
      <c r="B504" s="24"/>
      <c r="C504" s="286">
        <f t="shared" si="26"/>
        <v>610639</v>
      </c>
      <c r="D504" s="287"/>
      <c r="E504" s="24" t="s">
        <v>125</v>
      </c>
      <c r="F504" s="38" t="s">
        <v>144</v>
      </c>
      <c r="G504" s="288">
        <v>0</v>
      </c>
      <c r="H504" s="289"/>
    </row>
    <row r="505" spans="1:8" x14ac:dyDescent="0.5">
      <c r="A505" s="35"/>
      <c r="B505" s="24"/>
      <c r="C505" s="286">
        <f t="shared" si="26"/>
        <v>4750.17</v>
      </c>
      <c r="D505" s="287"/>
      <c r="E505" s="24" t="s">
        <v>139</v>
      </c>
      <c r="F505" s="38" t="s">
        <v>146</v>
      </c>
      <c r="G505" s="288">
        <v>0</v>
      </c>
      <c r="H505" s="289"/>
    </row>
    <row r="506" spans="1:8" x14ac:dyDescent="0.5">
      <c r="A506" s="35"/>
      <c r="B506" s="24"/>
      <c r="C506" s="286">
        <f t="shared" si="26"/>
        <v>8.14</v>
      </c>
      <c r="D506" s="287"/>
      <c r="E506" s="24" t="s">
        <v>115</v>
      </c>
      <c r="F506" s="38" t="s">
        <v>140</v>
      </c>
      <c r="G506" s="288">
        <v>0</v>
      </c>
      <c r="H506" s="289"/>
    </row>
    <row r="507" spans="1:8" x14ac:dyDescent="0.5">
      <c r="A507" s="35"/>
      <c r="B507" s="24"/>
      <c r="C507" s="286">
        <f t="shared" si="26"/>
        <v>13700</v>
      </c>
      <c r="D507" s="287"/>
      <c r="E507" s="24" t="s">
        <v>180</v>
      </c>
      <c r="F507" s="38"/>
      <c r="G507" s="288">
        <v>0</v>
      </c>
      <c r="H507" s="289"/>
    </row>
    <row r="508" spans="1:8" x14ac:dyDescent="0.5">
      <c r="A508" s="35"/>
      <c r="B508" s="24"/>
      <c r="C508" s="286">
        <f t="shared" si="26"/>
        <v>4694.84</v>
      </c>
      <c r="D508" s="287"/>
      <c r="E508" s="24" t="s">
        <v>292</v>
      </c>
      <c r="F508" s="38"/>
      <c r="G508" s="288">
        <v>3500</v>
      </c>
      <c r="H508" s="289"/>
    </row>
    <row r="509" spans="1:8" x14ac:dyDescent="0.5">
      <c r="A509" s="35"/>
      <c r="B509" s="24"/>
      <c r="C509" s="286">
        <f t="shared" si="26"/>
        <v>0</v>
      </c>
      <c r="D509" s="287"/>
      <c r="E509" s="24" t="s">
        <v>114</v>
      </c>
      <c r="F509" s="38"/>
      <c r="G509" s="288">
        <v>0</v>
      </c>
      <c r="H509" s="289"/>
    </row>
    <row r="510" spans="1:8" x14ac:dyDescent="0.5">
      <c r="A510" s="35"/>
      <c r="B510" s="24"/>
      <c r="C510" s="286">
        <f t="shared" si="26"/>
        <v>22886895.129999999</v>
      </c>
      <c r="D510" s="287"/>
      <c r="E510" s="24" t="s">
        <v>15</v>
      </c>
      <c r="F510" s="38" t="s">
        <v>309</v>
      </c>
      <c r="G510" s="288">
        <v>5077772.22</v>
      </c>
      <c r="H510" s="289"/>
    </row>
    <row r="511" spans="1:8" x14ac:dyDescent="0.5">
      <c r="A511" s="35"/>
      <c r="B511" s="24"/>
      <c r="C511" s="286">
        <f t="shared" si="26"/>
        <v>72731698.959999993</v>
      </c>
      <c r="D511" s="287"/>
      <c r="E511" s="24" t="s">
        <v>54</v>
      </c>
      <c r="F511" s="38"/>
      <c r="G511" s="288">
        <v>0</v>
      </c>
      <c r="H511" s="289"/>
    </row>
    <row r="512" spans="1:8" x14ac:dyDescent="0.5">
      <c r="A512" s="35"/>
      <c r="B512" s="24"/>
      <c r="C512" s="286" t="e">
        <f t="shared" si="26"/>
        <v>#REF!</v>
      </c>
      <c r="D512" s="287"/>
      <c r="E512" s="24" t="s">
        <v>92</v>
      </c>
      <c r="F512" s="38" t="s">
        <v>93</v>
      </c>
      <c r="G512" s="288"/>
      <c r="H512" s="289"/>
    </row>
    <row r="513" spans="1:9" x14ac:dyDescent="0.5">
      <c r="A513" s="35"/>
      <c r="B513" s="24"/>
      <c r="C513" s="286" t="e">
        <f t="shared" si="26"/>
        <v>#REF!</v>
      </c>
      <c r="D513" s="287"/>
      <c r="E513" s="24" t="s">
        <v>174</v>
      </c>
      <c r="F513" s="38" t="s">
        <v>128</v>
      </c>
      <c r="G513" s="288">
        <v>1948000</v>
      </c>
      <c r="H513" s="289"/>
    </row>
    <row r="514" spans="1:9" x14ac:dyDescent="0.5">
      <c r="A514" s="35"/>
      <c r="B514" s="24"/>
      <c r="C514" s="286">
        <f t="shared" si="26"/>
        <v>26483.72</v>
      </c>
      <c r="D514" s="287"/>
      <c r="E514" s="24" t="s">
        <v>334</v>
      </c>
      <c r="F514" s="38" t="s">
        <v>335</v>
      </c>
      <c r="G514" s="288">
        <v>0</v>
      </c>
      <c r="H514" s="289"/>
    </row>
    <row r="515" spans="1:9" x14ac:dyDescent="0.5">
      <c r="A515" s="35"/>
      <c r="B515" s="24"/>
      <c r="C515" s="290" t="e">
        <f>SUM(C486:C514)</f>
        <v>#REF!</v>
      </c>
      <c r="D515" s="291"/>
      <c r="E515" s="24"/>
      <c r="F515" s="38"/>
      <c r="G515" s="292" t="e">
        <f>SUM(G486:G514)</f>
        <v>#REF!</v>
      </c>
      <c r="H515" s="293"/>
      <c r="I515" s="21"/>
    </row>
    <row r="516" spans="1:9" ht="24" thickBot="1" x14ac:dyDescent="0.55000000000000004">
      <c r="A516" s="35"/>
      <c r="C516" s="294" t="e">
        <f>C484+C515</f>
        <v>#REF!</v>
      </c>
      <c r="D516" s="295"/>
      <c r="E516" s="120" t="s">
        <v>35</v>
      </c>
      <c r="F516" s="34"/>
      <c r="G516" s="294" t="e">
        <f>G484+G515</f>
        <v>#REF!</v>
      </c>
      <c r="H516" s="295"/>
    </row>
    <row r="517" spans="1:9" ht="24" thickTop="1" x14ac:dyDescent="0.5">
      <c r="A517" s="300" t="s">
        <v>95</v>
      </c>
      <c r="B517" s="300"/>
      <c r="C517" s="300"/>
      <c r="D517" s="300"/>
      <c r="E517" s="300"/>
      <c r="F517" s="300"/>
      <c r="G517" s="300"/>
      <c r="H517" s="300"/>
    </row>
    <row r="518" spans="1:9" x14ac:dyDescent="0.5">
      <c r="A518" s="300" t="s">
        <v>147</v>
      </c>
      <c r="B518" s="300"/>
      <c r="C518" s="300"/>
      <c r="D518" s="300"/>
      <c r="E518" s="300"/>
      <c r="F518" s="300"/>
      <c r="G518" s="300"/>
      <c r="H518" s="300"/>
    </row>
    <row r="519" spans="1:9" x14ac:dyDescent="0.5">
      <c r="A519" s="20"/>
      <c r="B519" s="1"/>
      <c r="C519" s="1"/>
      <c r="D519" s="1"/>
      <c r="E519" s="1"/>
      <c r="F519" s="301" t="s">
        <v>173</v>
      </c>
      <c r="G519" s="301"/>
      <c r="H519" s="301"/>
    </row>
    <row r="520" spans="1:9" x14ac:dyDescent="0.5">
      <c r="A520" s="300" t="s">
        <v>17</v>
      </c>
      <c r="B520" s="300"/>
      <c r="C520" s="300"/>
      <c r="D520" s="300"/>
      <c r="E520" s="300"/>
      <c r="F520" s="300"/>
      <c r="G520" s="300"/>
      <c r="H520" s="300"/>
    </row>
    <row r="521" spans="1:9" ht="24" thickBot="1" x14ac:dyDescent="0.55000000000000004">
      <c r="A521" s="64"/>
      <c r="B521" s="29"/>
      <c r="C521" s="29"/>
      <c r="D521" s="29"/>
      <c r="E521" s="29"/>
      <c r="F521" s="302" t="s">
        <v>445</v>
      </c>
      <c r="G521" s="302"/>
      <c r="H521" s="302"/>
    </row>
    <row r="522" spans="1:9" ht="24" thickTop="1" x14ac:dyDescent="0.5">
      <c r="A522" s="303" t="s">
        <v>18</v>
      </c>
      <c r="B522" s="303"/>
      <c r="C522" s="303"/>
      <c r="D522" s="303"/>
      <c r="E522" s="27"/>
      <c r="F522" s="303" t="s">
        <v>19</v>
      </c>
      <c r="G522" s="303"/>
      <c r="H522" s="303"/>
    </row>
    <row r="523" spans="1:9" x14ac:dyDescent="0.5">
      <c r="A523" s="304" t="s">
        <v>20</v>
      </c>
      <c r="B523" s="305"/>
      <c r="C523" s="306" t="s">
        <v>22</v>
      </c>
      <c r="D523" s="306"/>
      <c r="E523" s="307" t="s">
        <v>0</v>
      </c>
      <c r="F523" s="127" t="s">
        <v>23</v>
      </c>
      <c r="G523" s="304" t="s">
        <v>22</v>
      </c>
      <c r="H523" s="305"/>
    </row>
    <row r="524" spans="1:9" ht="24" thickBot="1" x14ac:dyDescent="0.55000000000000004">
      <c r="A524" s="309" t="s">
        <v>21</v>
      </c>
      <c r="B524" s="310"/>
      <c r="C524" s="311" t="s">
        <v>21</v>
      </c>
      <c r="D524" s="311"/>
      <c r="E524" s="308"/>
      <c r="F524" s="128" t="s">
        <v>24</v>
      </c>
      <c r="G524" s="309" t="s">
        <v>21</v>
      </c>
      <c r="H524" s="310"/>
    </row>
    <row r="525" spans="1:9" ht="24" thickTop="1" x14ac:dyDescent="0.5">
      <c r="A525" s="19"/>
      <c r="B525" s="27"/>
      <c r="C525" s="312">
        <f>C474</f>
        <v>53744181.479999997</v>
      </c>
      <c r="D525" s="313"/>
      <c r="E525" s="14" t="s">
        <v>25</v>
      </c>
      <c r="F525" s="30"/>
      <c r="G525" s="312" t="e">
        <f>'ใบต่อ  55'!#REF!</f>
        <v>#REF!</v>
      </c>
      <c r="H525" s="313"/>
      <c r="I525" s="14">
        <f>280982+20122+10357.85</f>
        <v>311461.84999999998</v>
      </c>
    </row>
    <row r="526" spans="1:9" x14ac:dyDescent="0.5">
      <c r="A526" s="8"/>
      <c r="B526" s="6"/>
      <c r="C526" s="298"/>
      <c r="D526" s="299"/>
      <c r="E526" s="14" t="s">
        <v>43</v>
      </c>
      <c r="F526" s="31" t="s">
        <v>71</v>
      </c>
      <c r="G526" s="298"/>
      <c r="H526" s="299"/>
    </row>
    <row r="527" spans="1:9" x14ac:dyDescent="0.5">
      <c r="A527" s="8">
        <v>3227000</v>
      </c>
      <c r="B527" s="5" t="s">
        <v>16</v>
      </c>
      <c r="C527" s="298">
        <f t="shared" ref="C527:C534" si="27">C476+G527</f>
        <v>2283349.3200000003</v>
      </c>
      <c r="D527" s="299"/>
      <c r="E527" s="14" t="s">
        <v>26</v>
      </c>
      <c r="F527" s="31" t="s">
        <v>77</v>
      </c>
      <c r="G527" s="298">
        <f>20490.65+1260+3000+280982+20122+10357.85</f>
        <v>336212.5</v>
      </c>
      <c r="H527" s="299"/>
      <c r="I527" s="14">
        <f>16424+107.65+8219+280982+20122+10357.85</f>
        <v>336212.5</v>
      </c>
    </row>
    <row r="528" spans="1:9" x14ac:dyDescent="0.5">
      <c r="A528" s="8">
        <v>1105000</v>
      </c>
      <c r="B528" s="5" t="s">
        <v>16</v>
      </c>
      <c r="C528" s="298">
        <f t="shared" si="27"/>
        <v>1225780</v>
      </c>
      <c r="D528" s="299"/>
      <c r="E528" s="14" t="s">
        <v>27</v>
      </c>
      <c r="F528" s="31" t="s">
        <v>78</v>
      </c>
      <c r="G528" s="298">
        <v>162631</v>
      </c>
      <c r="H528" s="299"/>
      <c r="I528" s="14">
        <f>40+560+104910+5000+3250+1560+360+24150+15600+7126+75</f>
        <v>162631</v>
      </c>
    </row>
    <row r="529" spans="1:10" x14ac:dyDescent="0.5">
      <c r="A529" s="8">
        <v>151000</v>
      </c>
      <c r="B529" s="5" t="s">
        <v>16</v>
      </c>
      <c r="C529" s="298">
        <f t="shared" si="27"/>
        <v>695368.76</v>
      </c>
      <c r="D529" s="299"/>
      <c r="E529" s="14" t="s">
        <v>28</v>
      </c>
      <c r="F529" s="31" t="s">
        <v>79</v>
      </c>
      <c r="G529" s="298">
        <v>126937.66</v>
      </c>
      <c r="H529" s="299"/>
      <c r="I529" s="21">
        <f>10000+116937.66</f>
        <v>126937.66</v>
      </c>
    </row>
    <row r="530" spans="1:10" x14ac:dyDescent="0.5">
      <c r="A530" s="8">
        <v>1000</v>
      </c>
      <c r="B530" s="5" t="s">
        <v>16</v>
      </c>
      <c r="C530" s="298">
        <f t="shared" si="27"/>
        <v>0</v>
      </c>
      <c r="D530" s="299"/>
      <c r="E530" s="14" t="s">
        <v>29</v>
      </c>
      <c r="F530" s="31" t="s">
        <v>81</v>
      </c>
      <c r="G530" s="298"/>
      <c r="H530" s="299"/>
    </row>
    <row r="531" spans="1:10" x14ac:dyDescent="0.5">
      <c r="A531" s="8">
        <v>147000</v>
      </c>
      <c r="B531" s="5" t="s">
        <v>16</v>
      </c>
      <c r="C531" s="298">
        <f>C480+G531</f>
        <v>178179</v>
      </c>
      <c r="D531" s="299"/>
      <c r="E531" s="14" t="s">
        <v>30</v>
      </c>
      <c r="F531" s="31" t="s">
        <v>80</v>
      </c>
      <c r="G531" s="298">
        <f>87211+400</f>
        <v>87611</v>
      </c>
      <c r="H531" s="299"/>
      <c r="I531" s="18"/>
    </row>
    <row r="532" spans="1:10" x14ac:dyDescent="0.5">
      <c r="A532" s="2">
        <v>1000</v>
      </c>
      <c r="B532" s="5"/>
      <c r="C532" s="298">
        <f t="shared" si="27"/>
        <v>0</v>
      </c>
      <c r="D532" s="299"/>
      <c r="E532" s="14" t="s">
        <v>31</v>
      </c>
      <c r="F532" s="31" t="s">
        <v>82</v>
      </c>
      <c r="G532" s="298"/>
      <c r="H532" s="299"/>
    </row>
    <row r="533" spans="1:10" x14ac:dyDescent="0.5">
      <c r="A533" s="8">
        <v>51768000</v>
      </c>
      <c r="B533" s="5" t="s">
        <v>16</v>
      </c>
      <c r="C533" s="298">
        <f t="shared" si="27"/>
        <v>70857282.419999987</v>
      </c>
      <c r="D533" s="299"/>
      <c r="E533" s="14" t="s">
        <v>32</v>
      </c>
      <c r="F533" s="31" t="s">
        <v>83</v>
      </c>
      <c r="G533" s="298">
        <v>5740470.0199999996</v>
      </c>
      <c r="H533" s="299"/>
    </row>
    <row r="534" spans="1:10" x14ac:dyDescent="0.5">
      <c r="A534" s="8">
        <f>25800000</f>
        <v>25800000</v>
      </c>
      <c r="B534" s="5" t="s">
        <v>16</v>
      </c>
      <c r="C534" s="298">
        <f t="shared" si="27"/>
        <v>48396379</v>
      </c>
      <c r="D534" s="299"/>
      <c r="E534" s="14" t="s">
        <v>13</v>
      </c>
      <c r="F534" s="31" t="s">
        <v>84</v>
      </c>
      <c r="G534" s="298"/>
      <c r="H534" s="299"/>
    </row>
    <row r="535" spans="1:10" ht="24" thickBot="1" x14ac:dyDescent="0.55000000000000004">
      <c r="A535" s="69">
        <f>SUM(A527:A534)</f>
        <v>82200000</v>
      </c>
      <c r="B535" s="65" t="s">
        <v>16</v>
      </c>
      <c r="C535" s="294">
        <f>SUM(C527:C534)</f>
        <v>123636338.49999999</v>
      </c>
      <c r="D535" s="295"/>
      <c r="F535" s="31"/>
      <c r="G535" s="294">
        <f>SUM(G527:G534)</f>
        <v>6453862.1799999997</v>
      </c>
      <c r="H535" s="295"/>
      <c r="I535" s="21">
        <f>G535+G538+G540+G541+G542+G543+G544+G547+G548</f>
        <v>7438084.1799999997</v>
      </c>
      <c r="J535" s="21">
        <f>I535-7386928.18</f>
        <v>51156</v>
      </c>
    </row>
    <row r="536" spans="1:10" ht="24" thickTop="1" x14ac:dyDescent="0.5">
      <c r="A536" s="134"/>
      <c r="B536" s="24"/>
      <c r="C536" s="296"/>
      <c r="D536" s="297"/>
      <c r="E536" s="47" t="s">
        <v>134</v>
      </c>
      <c r="F536" s="38"/>
      <c r="G536" s="296">
        <v>0</v>
      </c>
      <c r="H536" s="297"/>
    </row>
    <row r="537" spans="1:10" x14ac:dyDescent="0.5">
      <c r="A537" s="35"/>
      <c r="B537" s="24"/>
      <c r="C537" s="286">
        <f>C486+G537</f>
        <v>13462800</v>
      </c>
      <c r="D537" s="287"/>
      <c r="E537" s="24" t="s">
        <v>155</v>
      </c>
      <c r="F537" s="38"/>
      <c r="G537" s="286"/>
      <c r="H537" s="287"/>
      <c r="I537" s="18"/>
    </row>
    <row r="538" spans="1:10" x14ac:dyDescent="0.5">
      <c r="A538" s="35"/>
      <c r="B538" s="24"/>
      <c r="C538" s="286">
        <f>C487+G538</f>
        <v>2010000</v>
      </c>
      <c r="D538" s="287"/>
      <c r="E538" s="24" t="s">
        <v>156</v>
      </c>
      <c r="F538" s="38"/>
      <c r="G538" s="286">
        <f>41500</f>
        <v>41500</v>
      </c>
      <c r="H538" s="287"/>
      <c r="I538" s="135"/>
    </row>
    <row r="539" spans="1:10" x14ac:dyDescent="0.5">
      <c r="A539" s="110"/>
      <c r="B539" s="24"/>
      <c r="C539" s="286"/>
      <c r="D539" s="287"/>
      <c r="E539" s="47" t="s">
        <v>135</v>
      </c>
      <c r="F539" s="38"/>
      <c r="G539" s="288"/>
      <c r="H539" s="289"/>
    </row>
    <row r="540" spans="1:10" x14ac:dyDescent="0.5">
      <c r="A540" s="35"/>
      <c r="B540" s="24"/>
      <c r="C540" s="286">
        <f t="shared" ref="C540:C547" si="28">C489+G540</f>
        <v>180000</v>
      </c>
      <c r="D540" s="287"/>
      <c r="E540" s="24" t="s">
        <v>157</v>
      </c>
      <c r="F540" s="38"/>
      <c r="G540" s="286">
        <f>15000</f>
        <v>15000</v>
      </c>
      <c r="H540" s="287"/>
    </row>
    <row r="541" spans="1:10" x14ac:dyDescent="0.5">
      <c r="A541" s="35"/>
      <c r="B541" s="24"/>
      <c r="C541" s="286">
        <f t="shared" si="28"/>
        <v>216000</v>
      </c>
      <c r="D541" s="287"/>
      <c r="E541" s="24" t="s">
        <v>158</v>
      </c>
      <c r="F541" s="38"/>
      <c r="G541" s="286">
        <v>18000</v>
      </c>
      <c r="H541" s="287"/>
    </row>
    <row r="542" spans="1:10" x14ac:dyDescent="0.5">
      <c r="A542" s="35"/>
      <c r="B542" s="24"/>
      <c r="C542" s="286">
        <f t="shared" si="28"/>
        <v>89902</v>
      </c>
      <c r="D542" s="287"/>
      <c r="E542" s="24" t="s">
        <v>160</v>
      </c>
      <c r="F542" s="38"/>
      <c r="G542" s="286">
        <f>4842+27699</f>
        <v>32541</v>
      </c>
      <c r="H542" s="287"/>
      <c r="I542" s="14">
        <f>32541-3639-10000</f>
        <v>18902</v>
      </c>
    </row>
    <row r="543" spans="1:10" x14ac:dyDescent="0.5">
      <c r="A543" s="35"/>
      <c r="B543" s="24"/>
      <c r="C543" s="286">
        <f t="shared" si="28"/>
        <v>9180</v>
      </c>
      <c r="D543" s="287"/>
      <c r="E543" s="24" t="s">
        <v>159</v>
      </c>
      <c r="F543" s="38"/>
      <c r="G543" s="286">
        <v>720</v>
      </c>
      <c r="H543" s="287"/>
      <c r="J543" s="21"/>
    </row>
    <row r="544" spans="1:10" x14ac:dyDescent="0.5">
      <c r="A544" s="35"/>
      <c r="B544" s="24"/>
      <c r="C544" s="286">
        <f t="shared" si="28"/>
        <v>1299179</v>
      </c>
      <c r="D544" s="287"/>
      <c r="E544" s="24" t="s">
        <v>286</v>
      </c>
      <c r="F544" s="38"/>
      <c r="G544" s="286">
        <v>131021</v>
      </c>
      <c r="H544" s="287"/>
      <c r="I544" s="21"/>
    </row>
    <row r="545" spans="1:10" x14ac:dyDescent="0.5">
      <c r="A545" s="35"/>
      <c r="B545" s="24"/>
      <c r="C545" s="286">
        <f t="shared" si="28"/>
        <v>3873783.42</v>
      </c>
      <c r="D545" s="287"/>
      <c r="E545" s="24" t="s">
        <v>290</v>
      </c>
      <c r="F545" s="38"/>
      <c r="G545" s="286">
        <v>0</v>
      </c>
      <c r="H545" s="287"/>
    </row>
    <row r="546" spans="1:10" x14ac:dyDescent="0.5">
      <c r="A546" s="133"/>
      <c r="B546" s="24"/>
      <c r="C546" s="286">
        <f t="shared" si="28"/>
        <v>277088</v>
      </c>
      <c r="D546" s="287"/>
      <c r="E546" s="24" t="s">
        <v>291</v>
      </c>
      <c r="F546" s="38"/>
      <c r="G546" s="286">
        <v>0</v>
      </c>
      <c r="H546" s="287"/>
    </row>
    <row r="547" spans="1:10" x14ac:dyDescent="0.5">
      <c r="A547" s="35"/>
      <c r="B547" s="24"/>
      <c r="C547" s="286">
        <f t="shared" si="28"/>
        <v>450940</v>
      </c>
      <c r="D547" s="287"/>
      <c r="E547" s="24" t="s">
        <v>313</v>
      </c>
      <c r="F547" s="38"/>
      <c r="G547" s="286">
        <f>141440+30000+60000+194000</f>
        <v>425440</v>
      </c>
      <c r="H547" s="287"/>
    </row>
    <row r="548" spans="1:10" x14ac:dyDescent="0.5">
      <c r="A548" s="35"/>
      <c r="B548" s="24"/>
      <c r="C548" s="286">
        <f>G548</f>
        <v>320000</v>
      </c>
      <c r="D548" s="287"/>
      <c r="E548" s="24" t="s">
        <v>447</v>
      </c>
      <c r="F548" s="38"/>
      <c r="G548" s="286">
        <v>320000</v>
      </c>
      <c r="H548" s="287"/>
      <c r="I548" s="18"/>
    </row>
    <row r="549" spans="1:10" x14ac:dyDescent="0.5">
      <c r="A549" s="35"/>
      <c r="B549" s="24"/>
      <c r="C549" s="286" t="e">
        <f>C498+G549</f>
        <v>#REF!</v>
      </c>
      <c r="D549" s="287"/>
      <c r="E549" s="24" t="s">
        <v>33</v>
      </c>
      <c r="F549" s="38" t="s">
        <v>74</v>
      </c>
      <c r="G549" s="288">
        <f>'รายละเอียด(หมายเหตุ2)'!D21</f>
        <v>478621.25</v>
      </c>
      <c r="H549" s="289"/>
    </row>
    <row r="550" spans="1:10" x14ac:dyDescent="0.5">
      <c r="A550" s="35"/>
      <c r="B550" s="24"/>
      <c r="C550" s="286">
        <f>C499+G550</f>
        <v>881217</v>
      </c>
      <c r="D550" s="287"/>
      <c r="E550" s="24" t="s">
        <v>34</v>
      </c>
      <c r="F550" s="38" t="s">
        <v>61</v>
      </c>
      <c r="G550" s="288">
        <v>32247</v>
      </c>
      <c r="H550" s="289"/>
      <c r="J550" s="18"/>
    </row>
    <row r="551" spans="1:10" x14ac:dyDescent="0.5">
      <c r="A551" s="35"/>
      <c r="B551" s="24"/>
      <c r="C551" s="286">
        <f t="shared" ref="C551:C552" si="29">C500+G551</f>
        <v>2420680</v>
      </c>
      <c r="D551" s="287"/>
      <c r="E551" s="24" t="s">
        <v>56</v>
      </c>
      <c r="F551" s="38" t="s">
        <v>60</v>
      </c>
      <c r="G551" s="288">
        <v>66000</v>
      </c>
      <c r="H551" s="289"/>
    </row>
    <row r="552" spans="1:10" x14ac:dyDescent="0.5">
      <c r="A552" s="35"/>
      <c r="B552" s="24"/>
      <c r="C552" s="286">
        <f t="shared" si="29"/>
        <v>35433.199999999997</v>
      </c>
      <c r="D552" s="287"/>
      <c r="E552" s="24" t="s">
        <v>137</v>
      </c>
      <c r="F552" s="38" t="s">
        <v>141</v>
      </c>
      <c r="G552" s="288"/>
      <c r="H552" s="289"/>
    </row>
    <row r="553" spans="1:10" x14ac:dyDescent="0.5">
      <c r="A553" s="35"/>
      <c r="B553" s="24"/>
      <c r="C553" s="286">
        <f t="shared" ref="C553:C557" si="30">C502+G553</f>
        <v>7800</v>
      </c>
      <c r="D553" s="287"/>
      <c r="E553" s="24" t="s">
        <v>102</v>
      </c>
      <c r="F553" s="38" t="s">
        <v>142</v>
      </c>
      <c r="G553" s="288">
        <v>3000</v>
      </c>
      <c r="H553" s="289"/>
    </row>
    <row r="554" spans="1:10" x14ac:dyDescent="0.5">
      <c r="A554" s="35"/>
      <c r="B554" s="24"/>
      <c r="C554" s="286">
        <f t="shared" si="30"/>
        <v>2265.3000000000002</v>
      </c>
      <c r="D554" s="287"/>
      <c r="E554" s="24" t="s">
        <v>138</v>
      </c>
      <c r="F554" s="38" t="s">
        <v>143</v>
      </c>
      <c r="G554" s="288">
        <v>165.3</v>
      </c>
      <c r="H554" s="289"/>
    </row>
    <row r="555" spans="1:10" x14ac:dyDescent="0.5">
      <c r="A555" s="35"/>
      <c r="B555" s="24"/>
      <c r="C555" s="286">
        <f t="shared" si="30"/>
        <v>613239</v>
      </c>
      <c r="D555" s="287"/>
      <c r="E555" s="24" t="s">
        <v>125</v>
      </c>
      <c r="F555" s="38" t="s">
        <v>144</v>
      </c>
      <c r="G555" s="288">
        <v>2600</v>
      </c>
      <c r="H555" s="289"/>
    </row>
    <row r="556" spans="1:10" x14ac:dyDescent="0.5">
      <c r="A556" s="35"/>
      <c r="B556" s="24"/>
      <c r="C556" s="286">
        <f t="shared" si="30"/>
        <v>4750.17</v>
      </c>
      <c r="D556" s="287"/>
      <c r="E556" s="24" t="s">
        <v>139</v>
      </c>
      <c r="F556" s="38" t="s">
        <v>146</v>
      </c>
      <c r="G556" s="288">
        <v>0</v>
      </c>
      <c r="H556" s="289"/>
    </row>
    <row r="557" spans="1:10" x14ac:dyDescent="0.5">
      <c r="A557" s="35"/>
      <c r="B557" s="24"/>
      <c r="C557" s="286">
        <f t="shared" si="30"/>
        <v>8.14</v>
      </c>
      <c r="D557" s="287"/>
      <c r="E557" s="24" t="s">
        <v>115</v>
      </c>
      <c r="F557" s="38" t="s">
        <v>140</v>
      </c>
      <c r="G557" s="288">
        <v>0</v>
      </c>
      <c r="H557" s="289"/>
    </row>
    <row r="558" spans="1:10" x14ac:dyDescent="0.5">
      <c r="A558" s="35"/>
      <c r="B558" s="24"/>
      <c r="C558" s="286">
        <f>C507+G558</f>
        <v>41700</v>
      </c>
      <c r="D558" s="287"/>
      <c r="E558" s="24" t="s">
        <v>180</v>
      </c>
      <c r="F558" s="38"/>
      <c r="G558" s="288">
        <f>7600+1000+19400</f>
        <v>28000</v>
      </c>
      <c r="H558" s="289"/>
    </row>
    <row r="559" spans="1:10" x14ac:dyDescent="0.5">
      <c r="A559" s="35"/>
      <c r="B559" s="24"/>
      <c r="C559" s="288">
        <f>G559</f>
        <v>9320</v>
      </c>
      <c r="D559" s="289"/>
      <c r="E559" s="24" t="s">
        <v>448</v>
      </c>
      <c r="F559" s="38"/>
      <c r="G559" s="288">
        <v>9320</v>
      </c>
      <c r="H559" s="289"/>
    </row>
    <row r="560" spans="1:10" x14ac:dyDescent="0.5">
      <c r="A560" s="35"/>
      <c r="B560" s="24"/>
      <c r="C560" s="286">
        <f t="shared" ref="C560" si="31">C508+G560</f>
        <v>4694.84</v>
      </c>
      <c r="D560" s="287"/>
      <c r="E560" s="24" t="s">
        <v>292</v>
      </c>
      <c r="F560" s="38"/>
      <c r="G560" s="288"/>
      <c r="H560" s="289"/>
    </row>
    <row r="561" spans="1:9" x14ac:dyDescent="0.5">
      <c r="A561" s="35"/>
      <c r="B561" s="24"/>
      <c r="C561" s="286">
        <f>C509+G561</f>
        <v>1153743</v>
      </c>
      <c r="D561" s="287"/>
      <c r="E561" s="24" t="s">
        <v>114</v>
      </c>
      <c r="F561" s="38"/>
      <c r="G561" s="288">
        <f>79751+284000+461440+27699+41500+5344+360+253549+100</f>
        <v>1153743</v>
      </c>
      <c r="H561" s="289"/>
      <c r="I561" s="21">
        <f>G561-1153743</f>
        <v>0</v>
      </c>
    </row>
    <row r="562" spans="1:9" x14ac:dyDescent="0.5">
      <c r="A562" s="35"/>
      <c r="B562" s="24"/>
      <c r="C562" s="286">
        <f>G562</f>
        <v>583099.94999999995</v>
      </c>
      <c r="D562" s="287"/>
      <c r="E562" s="24" t="s">
        <v>87</v>
      </c>
      <c r="F562" s="38" t="s">
        <v>75</v>
      </c>
      <c r="G562" s="288">
        <f>10500+522599.95+50000</f>
        <v>583099.94999999995</v>
      </c>
      <c r="H562" s="289"/>
    </row>
    <row r="563" spans="1:9" x14ac:dyDescent="0.5">
      <c r="A563" s="35"/>
      <c r="B563" s="24"/>
      <c r="C563" s="286">
        <f>C510+G563</f>
        <v>22887533.129999999</v>
      </c>
      <c r="D563" s="287"/>
      <c r="E563" s="24" t="s">
        <v>15</v>
      </c>
      <c r="F563" s="38" t="s">
        <v>309</v>
      </c>
      <c r="G563" s="288">
        <v>638</v>
      </c>
      <c r="H563" s="289"/>
    </row>
    <row r="564" spans="1:9" x14ac:dyDescent="0.5">
      <c r="A564" s="35"/>
      <c r="B564" s="24"/>
      <c r="C564" s="286">
        <f>C511+G564</f>
        <v>72731698.959999993</v>
      </c>
      <c r="D564" s="287"/>
      <c r="E564" s="24" t="s">
        <v>54</v>
      </c>
      <c r="F564" s="38"/>
      <c r="G564" s="288">
        <v>0</v>
      </c>
      <c r="H564" s="289"/>
      <c r="I564" s="14">
        <v>0</v>
      </c>
    </row>
    <row r="565" spans="1:9" x14ac:dyDescent="0.5">
      <c r="A565" s="35"/>
      <c r="B565" s="24"/>
      <c r="C565" s="286" t="e">
        <f>C512+G565</f>
        <v>#REF!</v>
      </c>
      <c r="D565" s="287"/>
      <c r="E565" s="24" t="s">
        <v>450</v>
      </c>
      <c r="F565" s="38" t="s">
        <v>449</v>
      </c>
      <c r="G565" s="288">
        <v>6668</v>
      </c>
      <c r="H565" s="289"/>
    </row>
    <row r="566" spans="1:9" x14ac:dyDescent="0.5">
      <c r="A566" s="35"/>
      <c r="B566" s="24"/>
      <c r="C566" s="286">
        <f>G566</f>
        <v>1200000</v>
      </c>
      <c r="D566" s="287"/>
      <c r="E566" s="24" t="s">
        <v>92</v>
      </c>
      <c r="F566" s="38" t="s">
        <v>93</v>
      </c>
      <c r="G566" s="288">
        <v>1200000</v>
      </c>
      <c r="H566" s="289"/>
    </row>
    <row r="567" spans="1:9" x14ac:dyDescent="0.5">
      <c r="A567" s="35"/>
      <c r="B567" s="24"/>
      <c r="C567" s="286" t="e">
        <f>C513+G567</f>
        <v>#REF!</v>
      </c>
      <c r="D567" s="287"/>
      <c r="E567" s="24" t="s">
        <v>174</v>
      </c>
      <c r="F567" s="38" t="s">
        <v>128</v>
      </c>
      <c r="G567" s="288"/>
      <c r="H567" s="289"/>
    </row>
    <row r="568" spans="1:9" x14ac:dyDescent="0.5">
      <c r="A568" s="35"/>
      <c r="B568" s="24"/>
      <c r="C568" s="286">
        <f>C514+G568</f>
        <v>26483.920000000002</v>
      </c>
      <c r="D568" s="287"/>
      <c r="E568" s="24" t="s">
        <v>334</v>
      </c>
      <c r="F568" s="38" t="s">
        <v>335</v>
      </c>
      <c r="G568" s="288">
        <v>0.2</v>
      </c>
      <c r="H568" s="289"/>
    </row>
    <row r="569" spans="1:9" x14ac:dyDescent="0.5">
      <c r="A569" s="35"/>
      <c r="B569" s="24"/>
      <c r="C569" s="290" t="e">
        <f>SUM(C537:C568)</f>
        <v>#REF!</v>
      </c>
      <c r="D569" s="291"/>
      <c r="E569" s="24"/>
      <c r="F569" s="38"/>
      <c r="G569" s="292">
        <f>SUM(G537:G568)</f>
        <v>4548324.7</v>
      </c>
      <c r="H569" s="293"/>
      <c r="I569" s="21"/>
    </row>
    <row r="570" spans="1:9" ht="24" thickBot="1" x14ac:dyDescent="0.55000000000000004">
      <c r="A570" s="35"/>
      <c r="C570" s="294" t="e">
        <f>C535+C569</f>
        <v>#REF!</v>
      </c>
      <c r="D570" s="295"/>
      <c r="E570" s="126" t="s">
        <v>35</v>
      </c>
      <c r="F570" s="34"/>
      <c r="G570" s="294">
        <f>G535+G569</f>
        <v>11002186.879999999</v>
      </c>
      <c r="H570" s="295"/>
    </row>
    <row r="571" spans="1:9" ht="24" thickTop="1" x14ac:dyDescent="0.5"/>
  </sheetData>
  <mergeCells count="1115">
    <mergeCell ref="C170:D170"/>
    <mergeCell ref="G170:H170"/>
    <mergeCell ref="C126:D126"/>
    <mergeCell ref="G126:H126"/>
    <mergeCell ref="C515:D515"/>
    <mergeCell ref="G515:H515"/>
    <mergeCell ref="C516:D516"/>
    <mergeCell ref="G516:H516"/>
    <mergeCell ref="C510:D510"/>
    <mergeCell ref="G510:H510"/>
    <mergeCell ref="C511:D511"/>
    <mergeCell ref="G511:H511"/>
    <mergeCell ref="C512:D512"/>
    <mergeCell ref="G512:H512"/>
    <mergeCell ref="C513:D513"/>
    <mergeCell ref="G513:H513"/>
    <mergeCell ref="C514:D514"/>
    <mergeCell ref="G514:H514"/>
    <mergeCell ref="C505:D505"/>
    <mergeCell ref="G505:H505"/>
    <mergeCell ref="C506:D506"/>
    <mergeCell ref="G506:H506"/>
    <mergeCell ref="C507:D507"/>
    <mergeCell ref="G507:H507"/>
    <mergeCell ref="C508:D508"/>
    <mergeCell ref="G508:H508"/>
    <mergeCell ref="C509:D509"/>
    <mergeCell ref="G509:H509"/>
    <mergeCell ref="C500:D500"/>
    <mergeCell ref="G500:H500"/>
    <mergeCell ref="C501:D501"/>
    <mergeCell ref="G501:H501"/>
    <mergeCell ref="C502:D502"/>
    <mergeCell ref="G502:H502"/>
    <mergeCell ref="C503:D503"/>
    <mergeCell ref="G503:H503"/>
    <mergeCell ref="C504:D504"/>
    <mergeCell ref="G504:H504"/>
    <mergeCell ref="C494:D494"/>
    <mergeCell ref="G494:H494"/>
    <mergeCell ref="C495:D495"/>
    <mergeCell ref="G495:H495"/>
    <mergeCell ref="C496:D496"/>
    <mergeCell ref="G496:H496"/>
    <mergeCell ref="C498:D498"/>
    <mergeCell ref="G498:H498"/>
    <mergeCell ref="C499:D499"/>
    <mergeCell ref="G499:H499"/>
    <mergeCell ref="C497:D497"/>
    <mergeCell ref="G497:H497"/>
    <mergeCell ref="C489:D489"/>
    <mergeCell ref="G489:H489"/>
    <mergeCell ref="C490:D490"/>
    <mergeCell ref="G490:H490"/>
    <mergeCell ref="C491:D491"/>
    <mergeCell ref="G491:H491"/>
    <mergeCell ref="C492:D492"/>
    <mergeCell ref="G492:H492"/>
    <mergeCell ref="C493:D493"/>
    <mergeCell ref="G493:H493"/>
    <mergeCell ref="C484:D484"/>
    <mergeCell ref="G484:H484"/>
    <mergeCell ref="C485:D485"/>
    <mergeCell ref="G485:H485"/>
    <mergeCell ref="C486:D486"/>
    <mergeCell ref="G486:H486"/>
    <mergeCell ref="C487:D487"/>
    <mergeCell ref="G487:H487"/>
    <mergeCell ref="C488:D488"/>
    <mergeCell ref="G488:H488"/>
    <mergeCell ref="C479:D479"/>
    <mergeCell ref="G479:H479"/>
    <mergeCell ref="C480:D480"/>
    <mergeCell ref="G480:H480"/>
    <mergeCell ref="C481:D481"/>
    <mergeCell ref="G481:H481"/>
    <mergeCell ref="C482:D482"/>
    <mergeCell ref="G482:H482"/>
    <mergeCell ref="C483:D483"/>
    <mergeCell ref="G483:H483"/>
    <mergeCell ref="C474:D474"/>
    <mergeCell ref="G474:H474"/>
    <mergeCell ref="C475:D475"/>
    <mergeCell ref="G475:H475"/>
    <mergeCell ref="C476:D476"/>
    <mergeCell ref="G476:H476"/>
    <mergeCell ref="C477:D477"/>
    <mergeCell ref="G477:H477"/>
    <mergeCell ref="C478:D478"/>
    <mergeCell ref="G478:H478"/>
    <mergeCell ref="A466:H466"/>
    <mergeCell ref="A467:H467"/>
    <mergeCell ref="F468:H468"/>
    <mergeCell ref="A469:H469"/>
    <mergeCell ref="F470:H470"/>
    <mergeCell ref="A471:D471"/>
    <mergeCell ref="F471:H471"/>
    <mergeCell ref="A472:B472"/>
    <mergeCell ref="C472:D472"/>
    <mergeCell ref="E472:E473"/>
    <mergeCell ref="G472:H472"/>
    <mergeCell ref="A473:B473"/>
    <mergeCell ref="C473:D473"/>
    <mergeCell ref="G473:H473"/>
    <mergeCell ref="C464:D464"/>
    <mergeCell ref="G464:H464"/>
    <mergeCell ref="C465:D465"/>
    <mergeCell ref="G465:H465"/>
    <mergeCell ref="C459:D459"/>
    <mergeCell ref="G459:H459"/>
    <mergeCell ref="C460:D460"/>
    <mergeCell ref="G460:H460"/>
    <mergeCell ref="C461:D461"/>
    <mergeCell ref="G461:H461"/>
    <mergeCell ref="C462:D462"/>
    <mergeCell ref="G462:H462"/>
    <mergeCell ref="C463:D463"/>
    <mergeCell ref="G463:H463"/>
    <mergeCell ref="C454:D454"/>
    <mergeCell ref="G454:H454"/>
    <mergeCell ref="C455:D455"/>
    <mergeCell ref="G455:H455"/>
    <mergeCell ref="C456:D456"/>
    <mergeCell ref="G456:H456"/>
    <mergeCell ref="C457:D457"/>
    <mergeCell ref="G457:H457"/>
    <mergeCell ref="C458:D458"/>
    <mergeCell ref="G458:H458"/>
    <mergeCell ref="C449:D449"/>
    <mergeCell ref="G449:H449"/>
    <mergeCell ref="C450:D450"/>
    <mergeCell ref="G450:H450"/>
    <mergeCell ref="C451:D451"/>
    <mergeCell ref="G451:H451"/>
    <mergeCell ref="C452:D452"/>
    <mergeCell ref="G452:H452"/>
    <mergeCell ref="C453:D453"/>
    <mergeCell ref="G453:H453"/>
    <mergeCell ref="C444:D444"/>
    <mergeCell ref="G444:H444"/>
    <mergeCell ref="C445:D445"/>
    <mergeCell ref="G445:H445"/>
    <mergeCell ref="C446:D446"/>
    <mergeCell ref="G446:H446"/>
    <mergeCell ref="C447:D447"/>
    <mergeCell ref="G447:H447"/>
    <mergeCell ref="C448:D448"/>
    <mergeCell ref="G448:H448"/>
    <mergeCell ref="C439:D439"/>
    <mergeCell ref="G439:H439"/>
    <mergeCell ref="C440:D440"/>
    <mergeCell ref="G440:H440"/>
    <mergeCell ref="C441:D441"/>
    <mergeCell ref="G441:H441"/>
    <mergeCell ref="C442:D442"/>
    <mergeCell ref="G442:H442"/>
    <mergeCell ref="C443:D443"/>
    <mergeCell ref="G443:H443"/>
    <mergeCell ref="C434:D434"/>
    <mergeCell ref="G434:H434"/>
    <mergeCell ref="C435:D435"/>
    <mergeCell ref="G435:H435"/>
    <mergeCell ref="C436:D436"/>
    <mergeCell ref="G436:H436"/>
    <mergeCell ref="C437:D437"/>
    <mergeCell ref="G437:H437"/>
    <mergeCell ref="C438:D438"/>
    <mergeCell ref="G438:H438"/>
    <mergeCell ref="C429:D429"/>
    <mergeCell ref="G429:H429"/>
    <mergeCell ref="C430:D430"/>
    <mergeCell ref="G430:H430"/>
    <mergeCell ref="C431:D431"/>
    <mergeCell ref="G431:H431"/>
    <mergeCell ref="C432:D432"/>
    <mergeCell ref="G432:H432"/>
    <mergeCell ref="C433:D433"/>
    <mergeCell ref="G433:H433"/>
    <mergeCell ref="C424:D424"/>
    <mergeCell ref="G424:H424"/>
    <mergeCell ref="C425:D425"/>
    <mergeCell ref="G425:H425"/>
    <mergeCell ref="C426:D426"/>
    <mergeCell ref="G426:H426"/>
    <mergeCell ref="C427:D427"/>
    <mergeCell ref="G427:H427"/>
    <mergeCell ref="C428:D428"/>
    <mergeCell ref="G428:H428"/>
    <mergeCell ref="A416:H416"/>
    <mergeCell ref="A417:H417"/>
    <mergeCell ref="F418:H418"/>
    <mergeCell ref="A419:H419"/>
    <mergeCell ref="F420:H420"/>
    <mergeCell ref="A421:D421"/>
    <mergeCell ref="F421:H421"/>
    <mergeCell ref="A422:B422"/>
    <mergeCell ref="C422:D422"/>
    <mergeCell ref="E422:E423"/>
    <mergeCell ref="G422:H422"/>
    <mergeCell ref="A423:B423"/>
    <mergeCell ref="C423:D423"/>
    <mergeCell ref="G423:H423"/>
    <mergeCell ref="C414:D414"/>
    <mergeCell ref="G414:H414"/>
    <mergeCell ref="C415:D415"/>
    <mergeCell ref="G415:H415"/>
    <mergeCell ref="C409:D409"/>
    <mergeCell ref="G409:H409"/>
    <mergeCell ref="C410:D410"/>
    <mergeCell ref="G410:H410"/>
    <mergeCell ref="C411:D411"/>
    <mergeCell ref="G411:H411"/>
    <mergeCell ref="C412:D412"/>
    <mergeCell ref="G412:H412"/>
    <mergeCell ref="C413:D413"/>
    <mergeCell ref="G413:H413"/>
    <mergeCell ref="C404:D404"/>
    <mergeCell ref="G404:H404"/>
    <mergeCell ref="C405:D405"/>
    <mergeCell ref="G405:H405"/>
    <mergeCell ref="C406:D406"/>
    <mergeCell ref="G406:H406"/>
    <mergeCell ref="C407:D407"/>
    <mergeCell ref="G407:H407"/>
    <mergeCell ref="C408:D408"/>
    <mergeCell ref="G408:H408"/>
    <mergeCell ref="C399:D399"/>
    <mergeCell ref="G399:H399"/>
    <mergeCell ref="C400:D400"/>
    <mergeCell ref="G400:H400"/>
    <mergeCell ref="C401:D401"/>
    <mergeCell ref="G401:H401"/>
    <mergeCell ref="C402:D402"/>
    <mergeCell ref="G402:H402"/>
    <mergeCell ref="C403:D403"/>
    <mergeCell ref="G403:H403"/>
    <mergeCell ref="C394:D394"/>
    <mergeCell ref="G394:H394"/>
    <mergeCell ref="C395:D395"/>
    <mergeCell ref="G395:H395"/>
    <mergeCell ref="C396:D396"/>
    <mergeCell ref="G396:H396"/>
    <mergeCell ref="C397:D397"/>
    <mergeCell ref="G397:H397"/>
    <mergeCell ref="C398:D398"/>
    <mergeCell ref="G398:H398"/>
    <mergeCell ref="C389:D389"/>
    <mergeCell ref="G389:H389"/>
    <mergeCell ref="C390:D390"/>
    <mergeCell ref="G390:H390"/>
    <mergeCell ref="C391:D391"/>
    <mergeCell ref="G391:H391"/>
    <mergeCell ref="C392:D392"/>
    <mergeCell ref="G392:H392"/>
    <mergeCell ref="C393:D393"/>
    <mergeCell ref="G393:H393"/>
    <mergeCell ref="C384:D384"/>
    <mergeCell ref="G384:H384"/>
    <mergeCell ref="C385:D385"/>
    <mergeCell ref="G385:H385"/>
    <mergeCell ref="C386:D386"/>
    <mergeCell ref="G386:H386"/>
    <mergeCell ref="C387:D387"/>
    <mergeCell ref="G387:H387"/>
    <mergeCell ref="C388:D388"/>
    <mergeCell ref="G388:H388"/>
    <mergeCell ref="C379:D379"/>
    <mergeCell ref="G379:H379"/>
    <mergeCell ref="C380:D380"/>
    <mergeCell ref="G380:H380"/>
    <mergeCell ref="C381:D381"/>
    <mergeCell ref="G381:H381"/>
    <mergeCell ref="C382:D382"/>
    <mergeCell ref="G382:H382"/>
    <mergeCell ref="C383:D383"/>
    <mergeCell ref="G383:H383"/>
    <mergeCell ref="C374:D374"/>
    <mergeCell ref="G374:H374"/>
    <mergeCell ref="C375:D375"/>
    <mergeCell ref="G375:H375"/>
    <mergeCell ref="C376:D376"/>
    <mergeCell ref="G376:H376"/>
    <mergeCell ref="C377:D377"/>
    <mergeCell ref="G377:H377"/>
    <mergeCell ref="C378:D378"/>
    <mergeCell ref="G378:H378"/>
    <mergeCell ref="A366:H366"/>
    <mergeCell ref="A367:H367"/>
    <mergeCell ref="F368:H368"/>
    <mergeCell ref="A369:H369"/>
    <mergeCell ref="F370:H370"/>
    <mergeCell ref="A371:D371"/>
    <mergeCell ref="F371:H371"/>
    <mergeCell ref="A372:B372"/>
    <mergeCell ref="C372:D372"/>
    <mergeCell ref="E372:E373"/>
    <mergeCell ref="G372:H372"/>
    <mergeCell ref="A373:B373"/>
    <mergeCell ref="C373:D373"/>
    <mergeCell ref="G373:H373"/>
    <mergeCell ref="C310:D310"/>
    <mergeCell ref="G310:H310"/>
    <mergeCell ref="C311:D311"/>
    <mergeCell ref="G311:H311"/>
    <mergeCell ref="C312:D312"/>
    <mergeCell ref="G312:H312"/>
    <mergeCell ref="C314:D314"/>
    <mergeCell ref="G314:H314"/>
    <mergeCell ref="C315:D315"/>
    <mergeCell ref="G315:H315"/>
    <mergeCell ref="C313:D313"/>
    <mergeCell ref="G313:H313"/>
    <mergeCell ref="C324:D324"/>
    <mergeCell ref="G324:H324"/>
    <mergeCell ref="C325:D325"/>
    <mergeCell ref="G325:H325"/>
    <mergeCell ref="C326:D326"/>
    <mergeCell ref="G326:H326"/>
    <mergeCell ref="C305:D305"/>
    <mergeCell ref="G305:H305"/>
    <mergeCell ref="C306:D306"/>
    <mergeCell ref="G306:H306"/>
    <mergeCell ref="C307:D307"/>
    <mergeCell ref="G307:H307"/>
    <mergeCell ref="C308:D308"/>
    <mergeCell ref="G308:H308"/>
    <mergeCell ref="C309:D309"/>
    <mergeCell ref="G309:H309"/>
    <mergeCell ref="C300:D300"/>
    <mergeCell ref="G300:H300"/>
    <mergeCell ref="C301:D301"/>
    <mergeCell ref="G301:H301"/>
    <mergeCell ref="C302:D302"/>
    <mergeCell ref="G302:H302"/>
    <mergeCell ref="C303:D303"/>
    <mergeCell ref="G303:H303"/>
    <mergeCell ref="C304:D304"/>
    <mergeCell ref="G304:H304"/>
    <mergeCell ref="C294:D294"/>
    <mergeCell ref="G294:H294"/>
    <mergeCell ref="C295:D295"/>
    <mergeCell ref="G295:H295"/>
    <mergeCell ref="C297:D297"/>
    <mergeCell ref="G297:H297"/>
    <mergeCell ref="C298:D298"/>
    <mergeCell ref="G298:H298"/>
    <mergeCell ref="C299:D299"/>
    <mergeCell ref="G299:H299"/>
    <mergeCell ref="C296:D296"/>
    <mergeCell ref="G296:H296"/>
    <mergeCell ref="C289:D289"/>
    <mergeCell ref="G289:H289"/>
    <mergeCell ref="C290:D290"/>
    <mergeCell ref="G290:H290"/>
    <mergeCell ref="C291:D291"/>
    <mergeCell ref="G291:H291"/>
    <mergeCell ref="C292:D292"/>
    <mergeCell ref="G292:H292"/>
    <mergeCell ref="C293:D293"/>
    <mergeCell ref="G293:H293"/>
    <mergeCell ref="C284:D284"/>
    <mergeCell ref="G284:H284"/>
    <mergeCell ref="C285:D285"/>
    <mergeCell ref="G285:H285"/>
    <mergeCell ref="C286:D286"/>
    <mergeCell ref="G286:H286"/>
    <mergeCell ref="C287:D287"/>
    <mergeCell ref="G287:H287"/>
    <mergeCell ref="C288:D288"/>
    <mergeCell ref="G288:H288"/>
    <mergeCell ref="C279:D279"/>
    <mergeCell ref="G279:H279"/>
    <mergeCell ref="C280:D280"/>
    <mergeCell ref="G280:H280"/>
    <mergeCell ref="C281:D281"/>
    <mergeCell ref="G281:H281"/>
    <mergeCell ref="C282:D282"/>
    <mergeCell ref="G282:H282"/>
    <mergeCell ref="C283:D283"/>
    <mergeCell ref="G283:H283"/>
    <mergeCell ref="C274:D274"/>
    <mergeCell ref="G274:H274"/>
    <mergeCell ref="C275:D275"/>
    <mergeCell ref="G275:H275"/>
    <mergeCell ref="C276:D276"/>
    <mergeCell ref="G276:H276"/>
    <mergeCell ref="C277:D277"/>
    <mergeCell ref="G277:H277"/>
    <mergeCell ref="C278:D278"/>
    <mergeCell ref="G278:H278"/>
    <mergeCell ref="A266:H266"/>
    <mergeCell ref="A267:H267"/>
    <mergeCell ref="F268:H268"/>
    <mergeCell ref="A269:H269"/>
    <mergeCell ref="F270:H270"/>
    <mergeCell ref="A271:D271"/>
    <mergeCell ref="F271:H271"/>
    <mergeCell ref="A272:B272"/>
    <mergeCell ref="C272:D272"/>
    <mergeCell ref="E272:E273"/>
    <mergeCell ref="G272:H272"/>
    <mergeCell ref="A273:B273"/>
    <mergeCell ref="C273:D273"/>
    <mergeCell ref="G273:H273"/>
    <mergeCell ref="C203:D203"/>
    <mergeCell ref="G203:H203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C215:D215"/>
    <mergeCell ref="G215:H215"/>
    <mergeCell ref="C204:D204"/>
    <mergeCell ref="G204:H204"/>
    <mergeCell ref="C205:D205"/>
    <mergeCell ref="G205:H205"/>
    <mergeCell ref="C195:D195"/>
    <mergeCell ref="G195:H195"/>
    <mergeCell ref="C196:D196"/>
    <mergeCell ref="G196:H196"/>
    <mergeCell ref="C206:D206"/>
    <mergeCell ref="G206:H206"/>
    <mergeCell ref="C207:D207"/>
    <mergeCell ref="G207:H207"/>
    <mergeCell ref="C208:D208"/>
    <mergeCell ref="G208:H208"/>
    <mergeCell ref="C197:D197"/>
    <mergeCell ref="G197:H197"/>
    <mergeCell ref="C198:D198"/>
    <mergeCell ref="G198:H198"/>
    <mergeCell ref="C199:D199"/>
    <mergeCell ref="G199:H199"/>
    <mergeCell ref="C200:D200"/>
    <mergeCell ref="G200:H200"/>
    <mergeCell ref="C201:D201"/>
    <mergeCell ref="G201:H201"/>
    <mergeCell ref="C202:D202"/>
    <mergeCell ref="G202:H202"/>
    <mergeCell ref="C190:D190"/>
    <mergeCell ref="G190:H190"/>
    <mergeCell ref="C191:D191"/>
    <mergeCell ref="G191:H191"/>
    <mergeCell ref="C192:D192"/>
    <mergeCell ref="G192:H192"/>
    <mergeCell ref="C193:D193"/>
    <mergeCell ref="G193:H193"/>
    <mergeCell ref="C194:D194"/>
    <mergeCell ref="G194:H194"/>
    <mergeCell ref="C185:D185"/>
    <mergeCell ref="G185:H185"/>
    <mergeCell ref="C186:D186"/>
    <mergeCell ref="G186:H186"/>
    <mergeCell ref="C187:D187"/>
    <mergeCell ref="G187:H187"/>
    <mergeCell ref="C188:D188"/>
    <mergeCell ref="G188:H188"/>
    <mergeCell ref="C189:D189"/>
    <mergeCell ref="G189:H189"/>
    <mergeCell ref="C183:D183"/>
    <mergeCell ref="G183:H183"/>
    <mergeCell ref="C184:D184"/>
    <mergeCell ref="G184:H184"/>
    <mergeCell ref="G13:H13"/>
    <mergeCell ref="C12:D12"/>
    <mergeCell ref="G8:H8"/>
    <mergeCell ref="C8:D8"/>
    <mergeCell ref="C10:D10"/>
    <mergeCell ref="G10:H10"/>
    <mergeCell ref="C18:D18"/>
    <mergeCell ref="G18:H18"/>
    <mergeCell ref="C17:D17"/>
    <mergeCell ref="G17:H17"/>
    <mergeCell ref="G15:H15"/>
    <mergeCell ref="C15:D15"/>
    <mergeCell ref="C14:D14"/>
    <mergeCell ref="G14:H14"/>
    <mergeCell ref="C11:D11"/>
    <mergeCell ref="G11:H11"/>
    <mergeCell ref="G12:H12"/>
    <mergeCell ref="C13:D13"/>
    <mergeCell ref="C27:D27"/>
    <mergeCell ref="G27:H27"/>
    <mergeCell ref="C22:D22"/>
    <mergeCell ref="G22:H22"/>
    <mergeCell ref="G16:H16"/>
    <mergeCell ref="C19:D19"/>
    <mergeCell ref="G19:H19"/>
    <mergeCell ref="C16:D16"/>
    <mergeCell ref="C24:D24"/>
    <mergeCell ref="G24:H24"/>
    <mergeCell ref="C25:D25"/>
    <mergeCell ref="G25:H25"/>
    <mergeCell ref="C26:D26"/>
    <mergeCell ref="G26:H26"/>
    <mergeCell ref="C21:D21"/>
    <mergeCell ref="G21:H21"/>
    <mergeCell ref="C23:D23"/>
    <mergeCell ref="G23:H23"/>
    <mergeCell ref="C20:D20"/>
    <mergeCell ref="G20:H20"/>
    <mergeCell ref="A1:H1"/>
    <mergeCell ref="A2:H2"/>
    <mergeCell ref="F3:H3"/>
    <mergeCell ref="A4:H4"/>
    <mergeCell ref="C9:D9"/>
    <mergeCell ref="G9:H9"/>
    <mergeCell ref="F5:H5"/>
    <mergeCell ref="A6:D6"/>
    <mergeCell ref="A8:B8"/>
    <mergeCell ref="A7:B7"/>
    <mergeCell ref="F6:H6"/>
    <mergeCell ref="C7:D7"/>
    <mergeCell ref="E7:E8"/>
    <mergeCell ref="G7:H7"/>
    <mergeCell ref="C28:D28"/>
    <mergeCell ref="G28:H28"/>
    <mergeCell ref="C31:D31"/>
    <mergeCell ref="G31:H31"/>
    <mergeCell ref="C32:D32"/>
    <mergeCell ref="G32:H32"/>
    <mergeCell ref="C33:D33"/>
    <mergeCell ref="G33:H33"/>
    <mergeCell ref="C29:D29"/>
    <mergeCell ref="G29:H29"/>
    <mergeCell ref="A44:H44"/>
    <mergeCell ref="A45:H45"/>
    <mergeCell ref="F46:H46"/>
    <mergeCell ref="A47:H47"/>
    <mergeCell ref="F48:H48"/>
    <mergeCell ref="C42:D42"/>
    <mergeCell ref="G42:H42"/>
    <mergeCell ref="C30:D30"/>
    <mergeCell ref="G30:H30"/>
    <mergeCell ref="C41:D41"/>
    <mergeCell ref="G41:H41"/>
    <mergeCell ref="C39:D39"/>
    <mergeCell ref="G39:H39"/>
    <mergeCell ref="C40:D40"/>
    <mergeCell ref="G40:H40"/>
    <mergeCell ref="C36:D36"/>
    <mergeCell ref="G36:H36"/>
    <mergeCell ref="C38:D38"/>
    <mergeCell ref="G38:H38"/>
    <mergeCell ref="C34:D34"/>
    <mergeCell ref="G34:H34"/>
    <mergeCell ref="C35:D35"/>
    <mergeCell ref="G35:H35"/>
    <mergeCell ref="C52:D52"/>
    <mergeCell ref="G52:H52"/>
    <mergeCell ref="C53:D53"/>
    <mergeCell ref="G53:H53"/>
    <mergeCell ref="C54:D54"/>
    <mergeCell ref="G54:H54"/>
    <mergeCell ref="A49:D49"/>
    <mergeCell ref="F49:H49"/>
    <mergeCell ref="A50:B50"/>
    <mergeCell ref="C50:D50"/>
    <mergeCell ref="E50:E51"/>
    <mergeCell ref="G50:H50"/>
    <mergeCell ref="A51:B51"/>
    <mergeCell ref="C51:D51"/>
    <mergeCell ref="G51:H51"/>
    <mergeCell ref="C58:D58"/>
    <mergeCell ref="G58:H58"/>
    <mergeCell ref="C37:D37"/>
    <mergeCell ref="G37:H37"/>
    <mergeCell ref="C59:D59"/>
    <mergeCell ref="G59:H59"/>
    <mergeCell ref="C60:D60"/>
    <mergeCell ref="G60:H60"/>
    <mergeCell ref="C55:D55"/>
    <mergeCell ref="G55:H55"/>
    <mergeCell ref="C56:D56"/>
    <mergeCell ref="G56:H56"/>
    <mergeCell ref="C57:D57"/>
    <mergeCell ref="G57:H57"/>
    <mergeCell ref="C64:D64"/>
    <mergeCell ref="G64:H64"/>
    <mergeCell ref="C65:D65"/>
    <mergeCell ref="G65:H65"/>
    <mergeCell ref="C66:D66"/>
    <mergeCell ref="G66:H66"/>
    <mergeCell ref="C61:D61"/>
    <mergeCell ref="G61:H61"/>
    <mergeCell ref="C62:D62"/>
    <mergeCell ref="G62:H62"/>
    <mergeCell ref="C63:D63"/>
    <mergeCell ref="G63:H63"/>
    <mergeCell ref="C70:D70"/>
    <mergeCell ref="G70:H70"/>
    <mergeCell ref="C71:D71"/>
    <mergeCell ref="G71:H71"/>
    <mergeCell ref="C72:D72"/>
    <mergeCell ref="G72:H72"/>
    <mergeCell ref="C67:D67"/>
    <mergeCell ref="G67:H67"/>
    <mergeCell ref="C68:D68"/>
    <mergeCell ref="G68:H68"/>
    <mergeCell ref="C69:D69"/>
    <mergeCell ref="G69:H69"/>
    <mergeCell ref="C76:D76"/>
    <mergeCell ref="G76:H76"/>
    <mergeCell ref="C77:D77"/>
    <mergeCell ref="G77:H77"/>
    <mergeCell ref="C78:D78"/>
    <mergeCell ref="G78:H78"/>
    <mergeCell ref="C73:D73"/>
    <mergeCell ref="G73:H73"/>
    <mergeCell ref="C74:D74"/>
    <mergeCell ref="G74:H74"/>
    <mergeCell ref="C75:D75"/>
    <mergeCell ref="G75:H75"/>
    <mergeCell ref="C83:D83"/>
    <mergeCell ref="G83:H83"/>
    <mergeCell ref="C84:D84"/>
    <mergeCell ref="G84:H84"/>
    <mergeCell ref="C85:D85"/>
    <mergeCell ref="G85:H85"/>
    <mergeCell ref="C79:D79"/>
    <mergeCell ref="G79:H79"/>
    <mergeCell ref="C81:D81"/>
    <mergeCell ref="G81:H81"/>
    <mergeCell ref="C82:D82"/>
    <mergeCell ref="G82:H82"/>
    <mergeCell ref="G80:H80"/>
    <mergeCell ref="C80:D80"/>
    <mergeCell ref="A86:H86"/>
    <mergeCell ref="A87:H87"/>
    <mergeCell ref="F88:H88"/>
    <mergeCell ref="A89:H89"/>
    <mergeCell ref="F90:H90"/>
    <mergeCell ref="A91:D91"/>
    <mergeCell ref="F91:H91"/>
    <mergeCell ref="A92:B92"/>
    <mergeCell ref="C92:D92"/>
    <mergeCell ref="E92:E93"/>
    <mergeCell ref="G92:H92"/>
    <mergeCell ref="A93:B93"/>
    <mergeCell ref="C93:D93"/>
    <mergeCell ref="G93:H93"/>
    <mergeCell ref="C94:D94"/>
    <mergeCell ref="G94:H94"/>
    <mergeCell ref="C95:D95"/>
    <mergeCell ref="G95:H95"/>
    <mergeCell ref="C96:D96"/>
    <mergeCell ref="G96:H96"/>
    <mergeCell ref="G118:H118"/>
    <mergeCell ref="C119:D119"/>
    <mergeCell ref="G119:H119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14:D114"/>
    <mergeCell ref="G114:H114"/>
    <mergeCell ref="C97:D97"/>
    <mergeCell ref="G97:H97"/>
    <mergeCell ref="C98:D98"/>
    <mergeCell ref="G98:H98"/>
    <mergeCell ref="C99:D99"/>
    <mergeCell ref="G99:H99"/>
    <mergeCell ref="C100:D100"/>
    <mergeCell ref="G100:H100"/>
    <mergeCell ref="C101:D101"/>
    <mergeCell ref="G101:H101"/>
    <mergeCell ref="C102:D102"/>
    <mergeCell ref="G102:H102"/>
    <mergeCell ref="C103:D103"/>
    <mergeCell ref="G103:H103"/>
    <mergeCell ref="C104:D104"/>
    <mergeCell ref="G104:H104"/>
    <mergeCell ref="C105:D105"/>
    <mergeCell ref="G105:H105"/>
    <mergeCell ref="I103:J103"/>
    <mergeCell ref="C127:D127"/>
    <mergeCell ref="G127:H127"/>
    <mergeCell ref="C128:D128"/>
    <mergeCell ref="G128:H128"/>
    <mergeCell ref="C129:D129"/>
    <mergeCell ref="G129:H129"/>
    <mergeCell ref="C113:D113"/>
    <mergeCell ref="G113:H113"/>
    <mergeCell ref="C120:D120"/>
    <mergeCell ref="G120:H120"/>
    <mergeCell ref="C121:D121"/>
    <mergeCell ref="G121:H121"/>
    <mergeCell ref="C122:D122"/>
    <mergeCell ref="G122:H122"/>
    <mergeCell ref="C124:D124"/>
    <mergeCell ref="G124:H124"/>
    <mergeCell ref="C125:D125"/>
    <mergeCell ref="G125:H125"/>
    <mergeCell ref="C115:D115"/>
    <mergeCell ref="G115:H115"/>
    <mergeCell ref="C116:D116"/>
    <mergeCell ref="G116:H116"/>
    <mergeCell ref="C117:D117"/>
    <mergeCell ref="C106:D106"/>
    <mergeCell ref="G106:H106"/>
    <mergeCell ref="C107:D107"/>
    <mergeCell ref="G107:H107"/>
    <mergeCell ref="C108:D108"/>
    <mergeCell ref="G108:H108"/>
    <mergeCell ref="G117:H117"/>
    <mergeCell ref="C118:D118"/>
    <mergeCell ref="A130:H130"/>
    <mergeCell ref="A131:H131"/>
    <mergeCell ref="F132:H132"/>
    <mergeCell ref="A133:H133"/>
    <mergeCell ref="F134:H134"/>
    <mergeCell ref="A135:D135"/>
    <mergeCell ref="F135:H135"/>
    <mergeCell ref="A136:B136"/>
    <mergeCell ref="C136:D136"/>
    <mergeCell ref="E136:E137"/>
    <mergeCell ref="G136:H136"/>
    <mergeCell ref="A137:B137"/>
    <mergeCell ref="C137:D137"/>
    <mergeCell ref="G137:H137"/>
    <mergeCell ref="C138:D138"/>
    <mergeCell ref="G138:H138"/>
    <mergeCell ref="C139:D139"/>
    <mergeCell ref="G139:H139"/>
    <mergeCell ref="C140:D140"/>
    <mergeCell ref="G140:H140"/>
    <mergeCell ref="C141:D141"/>
    <mergeCell ref="G141:H141"/>
    <mergeCell ref="C142:D142"/>
    <mergeCell ref="G142:H142"/>
    <mergeCell ref="C143:D143"/>
    <mergeCell ref="G143:H143"/>
    <mergeCell ref="C144:D144"/>
    <mergeCell ref="G144:H144"/>
    <mergeCell ref="C145:D145"/>
    <mergeCell ref="G145:H14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6:D166"/>
    <mergeCell ref="G166:H166"/>
    <mergeCell ref="C168:D168"/>
    <mergeCell ref="G168:H168"/>
    <mergeCell ref="C214:D214"/>
    <mergeCell ref="G214:H214"/>
    <mergeCell ref="G216:H216"/>
    <mergeCell ref="C216:D216"/>
    <mergeCell ref="G217:H217"/>
    <mergeCell ref="C217:D217"/>
    <mergeCell ref="C169:D169"/>
    <mergeCell ref="G169:H169"/>
    <mergeCell ref="C171:D171"/>
    <mergeCell ref="G171:H171"/>
    <mergeCell ref="C172:D172"/>
    <mergeCell ref="G172:H172"/>
    <mergeCell ref="C173:D173"/>
    <mergeCell ref="G173:H173"/>
    <mergeCell ref="A174:H174"/>
    <mergeCell ref="A175:H175"/>
    <mergeCell ref="F176:H176"/>
    <mergeCell ref="A177:H177"/>
    <mergeCell ref="F178:H178"/>
    <mergeCell ref="A179:D179"/>
    <mergeCell ref="F179:H179"/>
    <mergeCell ref="A180:B180"/>
    <mergeCell ref="C180:D180"/>
    <mergeCell ref="E180:E181"/>
    <mergeCell ref="G180:H180"/>
    <mergeCell ref="A181:B181"/>
    <mergeCell ref="C181:D181"/>
    <mergeCell ref="G181:H181"/>
    <mergeCell ref="C182:D182"/>
    <mergeCell ref="G182:H182"/>
    <mergeCell ref="A218:H218"/>
    <mergeCell ref="A219:H219"/>
    <mergeCell ref="F220:H220"/>
    <mergeCell ref="A221:H221"/>
    <mergeCell ref="F222:H222"/>
    <mergeCell ref="A223:D223"/>
    <mergeCell ref="F223:H223"/>
    <mergeCell ref="A224:B224"/>
    <mergeCell ref="C224:D224"/>
    <mergeCell ref="E224:E225"/>
    <mergeCell ref="G224:H224"/>
    <mergeCell ref="A225:B225"/>
    <mergeCell ref="C225:D225"/>
    <mergeCell ref="G225:H225"/>
    <mergeCell ref="C226:D226"/>
    <mergeCell ref="G226:H226"/>
    <mergeCell ref="C227:D227"/>
    <mergeCell ref="G227:H227"/>
    <mergeCell ref="C249:D249"/>
    <mergeCell ref="G249:H249"/>
    <mergeCell ref="C250:D250"/>
    <mergeCell ref="G250:H250"/>
    <mergeCell ref="C241:D241"/>
    <mergeCell ref="G241:H241"/>
    <mergeCell ref="C242:D242"/>
    <mergeCell ref="G242:H242"/>
    <mergeCell ref="C243:D243"/>
    <mergeCell ref="G243:H243"/>
    <mergeCell ref="C244:D244"/>
    <mergeCell ref="G244:H244"/>
    <mergeCell ref="C245:D245"/>
    <mergeCell ref="G245:H245"/>
    <mergeCell ref="C228:D228"/>
    <mergeCell ref="G228:H228"/>
    <mergeCell ref="C229:D229"/>
    <mergeCell ref="G229:H229"/>
    <mergeCell ref="C230:D230"/>
    <mergeCell ref="G230:H230"/>
    <mergeCell ref="C231:D231"/>
    <mergeCell ref="G231:H231"/>
    <mergeCell ref="C232:D232"/>
    <mergeCell ref="G232:H232"/>
    <mergeCell ref="C233:D233"/>
    <mergeCell ref="G233:H233"/>
    <mergeCell ref="C234:D234"/>
    <mergeCell ref="G234:H234"/>
    <mergeCell ref="C235:D235"/>
    <mergeCell ref="G235:H235"/>
    <mergeCell ref="C236:D236"/>
    <mergeCell ref="G236:H236"/>
    <mergeCell ref="C259:D259"/>
    <mergeCell ref="G259:H259"/>
    <mergeCell ref="C260:D260"/>
    <mergeCell ref="G260:H260"/>
    <mergeCell ref="C261:D261"/>
    <mergeCell ref="G261:H261"/>
    <mergeCell ref="C123:D123"/>
    <mergeCell ref="G123:H123"/>
    <mergeCell ref="C167:D167"/>
    <mergeCell ref="G167:H167"/>
    <mergeCell ref="C213:D213"/>
    <mergeCell ref="G213:H213"/>
    <mergeCell ref="C257:D257"/>
    <mergeCell ref="G257:H257"/>
    <mergeCell ref="C262:D262"/>
    <mergeCell ref="G262:H262"/>
    <mergeCell ref="C251:D251"/>
    <mergeCell ref="G251:H251"/>
    <mergeCell ref="C252:D252"/>
    <mergeCell ref="G252:H252"/>
    <mergeCell ref="C253:D253"/>
    <mergeCell ref="G253:H253"/>
    <mergeCell ref="C237:D237"/>
    <mergeCell ref="G237:H237"/>
    <mergeCell ref="C238:D238"/>
    <mergeCell ref="G238:H238"/>
    <mergeCell ref="C239:D239"/>
    <mergeCell ref="G239:H239"/>
    <mergeCell ref="C240:D240"/>
    <mergeCell ref="G240:H240"/>
    <mergeCell ref="C248:D248"/>
    <mergeCell ref="G248:H248"/>
    <mergeCell ref="C254:D254"/>
    <mergeCell ref="G254:H254"/>
    <mergeCell ref="C255:D255"/>
    <mergeCell ref="G255:H255"/>
    <mergeCell ref="C246:D246"/>
    <mergeCell ref="G246:H246"/>
    <mergeCell ref="C247:D247"/>
    <mergeCell ref="G247:H247"/>
    <mergeCell ref="A316:H316"/>
    <mergeCell ref="A317:H317"/>
    <mergeCell ref="F318:H318"/>
    <mergeCell ref="A319:H319"/>
    <mergeCell ref="F320:H320"/>
    <mergeCell ref="A321:D321"/>
    <mergeCell ref="F321:H321"/>
    <mergeCell ref="A322:B322"/>
    <mergeCell ref="C322:D322"/>
    <mergeCell ref="E322:E323"/>
    <mergeCell ref="G322:H322"/>
    <mergeCell ref="A323:B323"/>
    <mergeCell ref="C323:D323"/>
    <mergeCell ref="G323:H323"/>
    <mergeCell ref="C263:D263"/>
    <mergeCell ref="G263:H263"/>
    <mergeCell ref="C264:D264"/>
    <mergeCell ref="G264:H264"/>
    <mergeCell ref="C265:D265"/>
    <mergeCell ref="G265:H265"/>
    <mergeCell ref="C256:D256"/>
    <mergeCell ref="G256:H256"/>
    <mergeCell ref="C258:D258"/>
    <mergeCell ref="G258:H258"/>
    <mergeCell ref="C327:D327"/>
    <mergeCell ref="G327:H327"/>
    <mergeCell ref="C328:D328"/>
    <mergeCell ref="G328:H328"/>
    <mergeCell ref="C329:D329"/>
    <mergeCell ref="G329:H329"/>
    <mergeCell ref="C330:D330"/>
    <mergeCell ref="G330:H330"/>
    <mergeCell ref="C331:D331"/>
    <mergeCell ref="G331:H331"/>
    <mergeCell ref="C332:D332"/>
    <mergeCell ref="G332:H332"/>
    <mergeCell ref="C333:D333"/>
    <mergeCell ref="G333:H333"/>
    <mergeCell ref="C334:D334"/>
    <mergeCell ref="G334:H334"/>
    <mergeCell ref="C335:D335"/>
    <mergeCell ref="G335:H335"/>
    <mergeCell ref="C336:D336"/>
    <mergeCell ref="G336:H336"/>
    <mergeCell ref="C337:D337"/>
    <mergeCell ref="G337:H337"/>
    <mergeCell ref="C338:D338"/>
    <mergeCell ref="G338:H338"/>
    <mergeCell ref="C339:D339"/>
    <mergeCell ref="G339:H339"/>
    <mergeCell ref="C340:D340"/>
    <mergeCell ref="G340:H340"/>
    <mergeCell ref="C341:D341"/>
    <mergeCell ref="G341:H341"/>
    <mergeCell ref="C342:D342"/>
    <mergeCell ref="G342:H342"/>
    <mergeCell ref="C343:D343"/>
    <mergeCell ref="G343:H343"/>
    <mergeCell ref="C344:D344"/>
    <mergeCell ref="G344:H344"/>
    <mergeCell ref="C345:D345"/>
    <mergeCell ref="G345:H345"/>
    <mergeCell ref="C346:D346"/>
    <mergeCell ref="G346:H346"/>
    <mergeCell ref="C347:D347"/>
    <mergeCell ref="G347:H347"/>
    <mergeCell ref="C348:D348"/>
    <mergeCell ref="G348:H348"/>
    <mergeCell ref="C349:D349"/>
    <mergeCell ref="G349:H349"/>
    <mergeCell ref="C350:D350"/>
    <mergeCell ref="G350:H350"/>
    <mergeCell ref="C351:D351"/>
    <mergeCell ref="G351:H351"/>
    <mergeCell ref="C352:D352"/>
    <mergeCell ref="G352:H352"/>
    <mergeCell ref="C353:D353"/>
    <mergeCell ref="G353:H353"/>
    <mergeCell ref="C354:D354"/>
    <mergeCell ref="G354:H354"/>
    <mergeCell ref="C355:D355"/>
    <mergeCell ref="G355:H355"/>
    <mergeCell ref="C356:D356"/>
    <mergeCell ref="G356:H356"/>
    <mergeCell ref="C357:D357"/>
    <mergeCell ref="G357:H357"/>
    <mergeCell ref="C358:D358"/>
    <mergeCell ref="G358:H358"/>
    <mergeCell ref="C364:D364"/>
    <mergeCell ref="G364:H364"/>
    <mergeCell ref="C365:D365"/>
    <mergeCell ref="G365:H365"/>
    <mergeCell ref="C359:D359"/>
    <mergeCell ref="G359:H359"/>
    <mergeCell ref="C360:D360"/>
    <mergeCell ref="G360:H360"/>
    <mergeCell ref="C361:D361"/>
    <mergeCell ref="G361:H361"/>
    <mergeCell ref="C362:D362"/>
    <mergeCell ref="G362:H362"/>
    <mergeCell ref="C363:D363"/>
    <mergeCell ref="G363:H363"/>
    <mergeCell ref="A517:H517"/>
    <mergeCell ref="A518:H518"/>
    <mergeCell ref="F519:H519"/>
    <mergeCell ref="A520:H520"/>
    <mergeCell ref="F521:H521"/>
    <mergeCell ref="A522:D522"/>
    <mergeCell ref="F522:H522"/>
    <mergeCell ref="A523:B523"/>
    <mergeCell ref="C523:D523"/>
    <mergeCell ref="E523:E524"/>
    <mergeCell ref="G523:H523"/>
    <mergeCell ref="A524:B524"/>
    <mergeCell ref="C524:D524"/>
    <mergeCell ref="G524:H524"/>
    <mergeCell ref="C525:D525"/>
    <mergeCell ref="G525:H525"/>
    <mergeCell ref="C526:D526"/>
    <mergeCell ref="G526:H526"/>
    <mergeCell ref="C527:D527"/>
    <mergeCell ref="G527:H527"/>
    <mergeCell ref="C528:D528"/>
    <mergeCell ref="G528:H528"/>
    <mergeCell ref="C529:D529"/>
    <mergeCell ref="G529:H529"/>
    <mergeCell ref="C530:D530"/>
    <mergeCell ref="G530:H530"/>
    <mergeCell ref="C531:D531"/>
    <mergeCell ref="G531:H531"/>
    <mergeCell ref="C532:D532"/>
    <mergeCell ref="G532:H532"/>
    <mergeCell ref="C533:D533"/>
    <mergeCell ref="G533:H533"/>
    <mergeCell ref="C534:D534"/>
    <mergeCell ref="G534:H534"/>
    <mergeCell ref="C535:D535"/>
    <mergeCell ref="G535:H535"/>
    <mergeCell ref="C536:D536"/>
    <mergeCell ref="G536:H536"/>
    <mergeCell ref="C537:D537"/>
    <mergeCell ref="G537:H537"/>
    <mergeCell ref="C538:D538"/>
    <mergeCell ref="G538:H538"/>
    <mergeCell ref="C539:D539"/>
    <mergeCell ref="G539:H539"/>
    <mergeCell ref="C540:D540"/>
    <mergeCell ref="G540:H540"/>
    <mergeCell ref="C541:D541"/>
    <mergeCell ref="G541:H541"/>
    <mergeCell ref="C542:D542"/>
    <mergeCell ref="G542:H542"/>
    <mergeCell ref="C543:D543"/>
    <mergeCell ref="G543:H543"/>
    <mergeCell ref="C544:D544"/>
    <mergeCell ref="G544:H544"/>
    <mergeCell ref="C545:D545"/>
    <mergeCell ref="G545:H545"/>
    <mergeCell ref="C546:D546"/>
    <mergeCell ref="G546:H546"/>
    <mergeCell ref="C547:D547"/>
    <mergeCell ref="G547:H547"/>
    <mergeCell ref="C549:D549"/>
    <mergeCell ref="G549:H549"/>
    <mergeCell ref="C550:D550"/>
    <mergeCell ref="G550:H550"/>
    <mergeCell ref="C551:D551"/>
    <mergeCell ref="G551:H551"/>
    <mergeCell ref="C552:D552"/>
    <mergeCell ref="G552:H552"/>
    <mergeCell ref="C553:D553"/>
    <mergeCell ref="G553:H553"/>
    <mergeCell ref="C554:D554"/>
    <mergeCell ref="G554:H554"/>
    <mergeCell ref="C548:D548"/>
    <mergeCell ref="G548:H548"/>
    <mergeCell ref="C567:D567"/>
    <mergeCell ref="G567:H567"/>
    <mergeCell ref="C568:D568"/>
    <mergeCell ref="G568:H568"/>
    <mergeCell ref="C569:D569"/>
    <mergeCell ref="G569:H569"/>
    <mergeCell ref="C570:D570"/>
    <mergeCell ref="G570:H570"/>
    <mergeCell ref="C555:D555"/>
    <mergeCell ref="G555:H555"/>
    <mergeCell ref="C556:D556"/>
    <mergeCell ref="G556:H556"/>
    <mergeCell ref="C557:D557"/>
    <mergeCell ref="G557:H557"/>
    <mergeCell ref="C558:D558"/>
    <mergeCell ref="G558:H558"/>
    <mergeCell ref="C560:D560"/>
    <mergeCell ref="G560:H560"/>
    <mergeCell ref="C561:D561"/>
    <mergeCell ref="G561:H561"/>
    <mergeCell ref="C563:D563"/>
    <mergeCell ref="G563:H563"/>
    <mergeCell ref="C564:D564"/>
    <mergeCell ref="G564:H564"/>
    <mergeCell ref="C565:D565"/>
    <mergeCell ref="G565:H565"/>
    <mergeCell ref="G559:H559"/>
    <mergeCell ref="C559:D559"/>
    <mergeCell ref="G562:H562"/>
    <mergeCell ref="C562:D562"/>
    <mergeCell ref="C566:D566"/>
    <mergeCell ref="G566:H566"/>
  </mergeCells>
  <phoneticPr fontId="0" type="noConversion"/>
  <pageMargins left="0.59055118110236227" right="0.19685039370078741" top="0.11811023622047245" bottom="0.11811023622047245" header="0.51181102362204722" footer="0.51181102362204722"/>
  <pageSetup paperSize="9" scale="81" orientation="portrait" r:id="rId1"/>
  <headerFooter alignWithMargins="0"/>
  <rowBreaks count="9" manualBreakCount="9">
    <brk id="43" max="16383" man="1"/>
    <brk id="85" max="9" man="1"/>
    <brk id="129" max="16383" man="1"/>
    <brk id="173" max="9" man="1"/>
    <brk id="217" max="16383" man="1"/>
    <brk id="265" max="9" man="1"/>
    <brk id="315" max="16383" man="1"/>
    <brk id="480" max="9" man="1"/>
    <brk id="516" max="16383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view="pageBreakPreview" topLeftCell="A235" zoomScaleSheetLayoutView="100" workbookViewId="0">
      <selection activeCell="I248" sqref="I248"/>
    </sheetView>
  </sheetViews>
  <sheetFormatPr defaultColWidth="8.796875" defaultRowHeight="20.25" customHeight="1" x14ac:dyDescent="0.5"/>
  <cols>
    <col min="1" max="1" width="21.796875" style="35" customWidth="1"/>
    <col min="2" max="2" width="5.19921875" style="24" customWidth="1"/>
    <col min="3" max="3" width="1.19921875" style="24" customWidth="1"/>
    <col min="4" max="4" width="20.796875" style="24" customWidth="1"/>
    <col min="5" max="5" width="62.59765625" style="24" customWidth="1"/>
    <col min="6" max="6" width="18.796875" style="24" customWidth="1"/>
    <col min="7" max="7" width="4" style="24" customWidth="1"/>
    <col min="8" max="8" width="25.3984375" style="24" customWidth="1"/>
    <col min="9" max="9" width="21.796875" style="24" customWidth="1"/>
    <col min="10" max="13" width="28.796875" style="35" customWidth="1"/>
    <col min="14" max="14" width="28.796875" style="24" customWidth="1"/>
    <col min="15" max="16384" width="8.796875" style="24"/>
  </cols>
  <sheetData>
    <row r="1" spans="1:8" ht="23.25" customHeight="1" thickBot="1" x14ac:dyDescent="0.55000000000000004">
      <c r="G1" s="28" t="s">
        <v>971</v>
      </c>
    </row>
    <row r="2" spans="1:8" ht="25.5" customHeight="1" thickTop="1" x14ac:dyDescent="0.5">
      <c r="A2" s="321" t="s">
        <v>18</v>
      </c>
      <c r="B2" s="322"/>
      <c r="C2" s="322"/>
      <c r="D2" s="323"/>
      <c r="E2" s="100"/>
      <c r="F2" s="321" t="s">
        <v>19</v>
      </c>
      <c r="G2" s="322"/>
      <c r="H2" s="323"/>
    </row>
    <row r="3" spans="1:8" ht="26.25" customHeight="1" x14ac:dyDescent="0.5">
      <c r="A3" s="324" t="s">
        <v>20</v>
      </c>
      <c r="B3" s="325"/>
      <c r="C3" s="324" t="s">
        <v>22</v>
      </c>
      <c r="D3" s="325"/>
      <c r="E3" s="326" t="s">
        <v>0</v>
      </c>
      <c r="F3" s="101" t="s">
        <v>23</v>
      </c>
      <c r="G3" s="324" t="s">
        <v>22</v>
      </c>
      <c r="H3" s="325"/>
    </row>
    <row r="4" spans="1:8" ht="23.25" customHeight="1" thickBot="1" x14ac:dyDescent="0.55000000000000004">
      <c r="A4" s="328" t="s">
        <v>21</v>
      </c>
      <c r="B4" s="329"/>
      <c r="C4" s="328" t="s">
        <v>21</v>
      </c>
      <c r="D4" s="329"/>
      <c r="E4" s="327"/>
      <c r="F4" s="102" t="s">
        <v>24</v>
      </c>
      <c r="G4" s="328" t="s">
        <v>21</v>
      </c>
      <c r="H4" s="329"/>
    </row>
    <row r="5" spans="1:8" ht="20.25" customHeight="1" thickTop="1" x14ac:dyDescent="0.5">
      <c r="A5" s="36"/>
      <c r="B5" s="37"/>
      <c r="C5" s="296"/>
      <c r="D5" s="297"/>
      <c r="E5" s="28" t="s">
        <v>36</v>
      </c>
      <c r="F5" s="38"/>
      <c r="G5" s="296"/>
      <c r="H5" s="297"/>
    </row>
    <row r="6" spans="1:8" ht="20.25" customHeight="1" x14ac:dyDescent="0.5">
      <c r="A6" s="39">
        <v>21297500</v>
      </c>
      <c r="B6" s="40" t="s">
        <v>16</v>
      </c>
      <c r="C6" s="288">
        <f>G6</f>
        <v>0</v>
      </c>
      <c r="D6" s="289"/>
      <c r="E6" s="24" t="s">
        <v>12</v>
      </c>
      <c r="F6" s="38" t="s">
        <v>62</v>
      </c>
      <c r="G6" s="288"/>
      <c r="H6" s="289"/>
    </row>
    <row r="7" spans="1:8" ht="20.25" customHeight="1" x14ac:dyDescent="0.5">
      <c r="A7" s="39">
        <f>756000+480000+247500+1620000+3116486+373200+240000+1600080+299160+42000+809340+58080+42000+3439694+31440+387600+67200+1015440+177840+42000+729900+36000+120000</f>
        <v>15730960</v>
      </c>
      <c r="B7" s="40" t="s">
        <v>16</v>
      </c>
      <c r="C7" s="288">
        <f t="shared" ref="C7:C17" si="0">G7</f>
        <v>503972</v>
      </c>
      <c r="D7" s="289"/>
      <c r="E7" s="24" t="s">
        <v>4</v>
      </c>
      <c r="F7" s="38" t="s">
        <v>85</v>
      </c>
      <c r="G7" s="288">
        <v>503972</v>
      </c>
      <c r="H7" s="289"/>
    </row>
    <row r="8" spans="1:8" ht="20.25" customHeight="1" x14ac:dyDescent="0.5">
      <c r="A8" s="39">
        <f>1928880+1092120+996960+594240+1165200+730800+78000+31000+997200+694800+640800+457200</f>
        <v>9407200</v>
      </c>
      <c r="B8" s="40" t="s">
        <v>16</v>
      </c>
      <c r="C8" s="288">
        <f t="shared" si="0"/>
        <v>644390</v>
      </c>
      <c r="D8" s="289"/>
      <c r="E8" s="24" t="s">
        <v>5</v>
      </c>
      <c r="F8" s="38" t="s">
        <v>86</v>
      </c>
      <c r="G8" s="288">
        <v>644390</v>
      </c>
      <c r="H8" s="289"/>
    </row>
    <row r="9" spans="1:8" ht="20.25" customHeight="1" x14ac:dyDescent="0.5">
      <c r="A9" s="39">
        <f>152000+1430000+400000+60000+30000+50000</f>
        <v>2122000</v>
      </c>
      <c r="B9" s="40" t="s">
        <v>16</v>
      </c>
      <c r="C9" s="288">
        <f t="shared" si="0"/>
        <v>6000</v>
      </c>
      <c r="D9" s="289"/>
      <c r="E9" s="24" t="s">
        <v>6</v>
      </c>
      <c r="F9" s="38" t="s">
        <v>64</v>
      </c>
      <c r="G9" s="288">
        <v>6000</v>
      </c>
      <c r="H9" s="289"/>
    </row>
    <row r="10" spans="1:8" ht="20.25" customHeight="1" x14ac:dyDescent="0.5">
      <c r="A10" s="39">
        <f>347000+4100000+2453500+3666000+3806600+1328000</f>
        <v>15701100</v>
      </c>
      <c r="B10" s="40" t="s">
        <v>16</v>
      </c>
      <c r="C10" s="288">
        <f t="shared" si="0"/>
        <v>30300</v>
      </c>
      <c r="D10" s="289"/>
      <c r="E10" s="24" t="s">
        <v>7</v>
      </c>
      <c r="F10" s="38" t="s">
        <v>65</v>
      </c>
      <c r="G10" s="288">
        <v>30300</v>
      </c>
      <c r="H10" s="289"/>
    </row>
    <row r="11" spans="1:8" ht="20.25" customHeight="1" x14ac:dyDescent="0.5">
      <c r="A11" s="39">
        <f>210000+980000+839000+1540000+1276240+280000</f>
        <v>5125240</v>
      </c>
      <c r="B11" s="40" t="s">
        <v>16</v>
      </c>
      <c r="C11" s="288">
        <f t="shared" si="0"/>
        <v>20000</v>
      </c>
      <c r="D11" s="289"/>
      <c r="E11" s="24" t="s">
        <v>8</v>
      </c>
      <c r="F11" s="38" t="s">
        <v>66</v>
      </c>
      <c r="G11" s="288">
        <v>20000</v>
      </c>
      <c r="H11" s="289"/>
    </row>
    <row r="12" spans="1:8" ht="20.25" customHeight="1" x14ac:dyDescent="0.5">
      <c r="A12" s="39">
        <v>930000</v>
      </c>
      <c r="B12" s="40" t="s">
        <v>16</v>
      </c>
      <c r="C12" s="288">
        <f t="shared" si="0"/>
        <v>0</v>
      </c>
      <c r="D12" s="289"/>
      <c r="E12" s="24" t="s">
        <v>9</v>
      </c>
      <c r="F12" s="38" t="s">
        <v>67</v>
      </c>
      <c r="G12" s="288"/>
      <c r="H12" s="289"/>
    </row>
    <row r="13" spans="1:8" ht="20.25" customHeight="1" x14ac:dyDescent="0.5">
      <c r="A13" s="39">
        <f>1048000+942000</f>
        <v>1990000</v>
      </c>
      <c r="B13" s="40"/>
      <c r="C13" s="288">
        <f t="shared" si="0"/>
        <v>0</v>
      </c>
      <c r="D13" s="289"/>
      <c r="E13" s="24" t="s">
        <v>13</v>
      </c>
      <c r="F13" s="38" t="s">
        <v>68</v>
      </c>
      <c r="G13" s="288"/>
      <c r="H13" s="289"/>
    </row>
    <row r="14" spans="1:8" ht="20.25" customHeight="1" x14ac:dyDescent="0.5">
      <c r="A14" s="39">
        <f>140000+118000+799400+3243800+137000+912800</f>
        <v>5351000</v>
      </c>
      <c r="B14" s="40" t="s">
        <v>16</v>
      </c>
      <c r="C14" s="288">
        <f t="shared" si="0"/>
        <v>0</v>
      </c>
      <c r="D14" s="289"/>
      <c r="E14" s="24" t="s">
        <v>10</v>
      </c>
      <c r="F14" s="38" t="s">
        <v>69</v>
      </c>
      <c r="G14" s="288"/>
      <c r="H14" s="289"/>
    </row>
    <row r="15" spans="1:8" ht="20.25" customHeight="1" x14ac:dyDescent="0.5">
      <c r="A15" s="13">
        <f>310000+8231000+650000</f>
        <v>9191000</v>
      </c>
      <c r="B15" s="40"/>
      <c r="C15" s="288">
        <f t="shared" si="0"/>
        <v>0</v>
      </c>
      <c r="D15" s="289"/>
      <c r="E15" s="24" t="s">
        <v>96</v>
      </c>
      <c r="F15" s="38" t="s">
        <v>70</v>
      </c>
      <c r="G15" s="288">
        <v>0</v>
      </c>
      <c r="H15" s="289"/>
    </row>
    <row r="16" spans="1:8" ht="20.25" customHeight="1" x14ac:dyDescent="0.5">
      <c r="A16" s="13"/>
      <c r="B16" s="40"/>
      <c r="C16" s="288">
        <f t="shared" si="0"/>
        <v>0</v>
      </c>
      <c r="D16" s="289"/>
      <c r="E16" s="24" t="s">
        <v>97</v>
      </c>
      <c r="F16" s="41" t="s">
        <v>94</v>
      </c>
      <c r="G16" s="288"/>
      <c r="H16" s="289"/>
    </row>
    <row r="17" spans="1:8" ht="20.25" customHeight="1" thickBot="1" x14ac:dyDescent="0.55000000000000004">
      <c r="A17" s="103">
        <f>SUM(A6:A16)</f>
        <v>86846000</v>
      </c>
      <c r="B17" s="104" t="s">
        <v>16</v>
      </c>
      <c r="C17" s="319">
        <f t="shared" si="0"/>
        <v>1204662</v>
      </c>
      <c r="D17" s="320"/>
      <c r="E17" s="105"/>
      <c r="F17" s="38"/>
      <c r="G17" s="319">
        <f>SUM(G6:G16)</f>
        <v>1204662</v>
      </c>
      <c r="H17" s="320"/>
    </row>
    <row r="18" spans="1:8" ht="20.25" customHeight="1" thickTop="1" x14ac:dyDescent="0.5">
      <c r="C18" s="296">
        <f>G18</f>
        <v>0</v>
      </c>
      <c r="D18" s="297"/>
      <c r="E18" s="70" t="s">
        <v>134</v>
      </c>
      <c r="F18" s="38"/>
      <c r="G18" s="296">
        <v>0</v>
      </c>
      <c r="H18" s="297"/>
    </row>
    <row r="19" spans="1:8" ht="20.25" customHeight="1" x14ac:dyDescent="0.5">
      <c r="A19" s="35">
        <f>A17-86846000</f>
        <v>0</v>
      </c>
      <c r="C19" s="286">
        <f>G19</f>
        <v>0</v>
      </c>
      <c r="D19" s="287"/>
      <c r="E19" s="42" t="s">
        <v>136</v>
      </c>
      <c r="F19" s="38"/>
      <c r="G19" s="286">
        <v>0</v>
      </c>
      <c r="H19" s="287"/>
    </row>
    <row r="20" spans="1:8" ht="20.25" customHeight="1" x14ac:dyDescent="0.5">
      <c r="C20" s="288">
        <f t="shared" ref="C20:C38" si="1">G20</f>
        <v>0</v>
      </c>
      <c r="D20" s="289"/>
      <c r="E20" s="42" t="s">
        <v>98</v>
      </c>
      <c r="F20" s="38"/>
      <c r="G20" s="288">
        <v>0</v>
      </c>
      <c r="H20" s="289"/>
    </row>
    <row r="21" spans="1:8" ht="20.25" customHeight="1" x14ac:dyDescent="0.5">
      <c r="C21" s="288">
        <f t="shared" si="1"/>
        <v>0</v>
      </c>
      <c r="D21" s="289"/>
      <c r="E21" s="47" t="s">
        <v>135</v>
      </c>
      <c r="F21" s="38"/>
      <c r="G21" s="288">
        <v>0</v>
      </c>
      <c r="H21" s="289"/>
    </row>
    <row r="22" spans="1:8" ht="20.25" customHeight="1" x14ac:dyDescent="0.5">
      <c r="C22" s="258">
        <f t="shared" si="1"/>
        <v>0</v>
      </c>
      <c r="D22" s="259"/>
      <c r="E22" s="24" t="s">
        <v>12</v>
      </c>
      <c r="F22" s="38"/>
      <c r="G22" s="288">
        <v>0</v>
      </c>
      <c r="H22" s="289"/>
    </row>
    <row r="23" spans="1:8" ht="20.25" customHeight="1" x14ac:dyDescent="0.5">
      <c r="C23" s="258">
        <f t="shared" si="1"/>
        <v>0</v>
      </c>
      <c r="D23" s="259"/>
      <c r="E23" s="24" t="s">
        <v>4</v>
      </c>
      <c r="F23" s="38"/>
      <c r="G23" s="288">
        <v>0</v>
      </c>
      <c r="H23" s="289"/>
    </row>
    <row r="24" spans="1:8" ht="20.25" customHeight="1" x14ac:dyDescent="0.5">
      <c r="C24" s="258">
        <f t="shared" si="1"/>
        <v>0</v>
      </c>
      <c r="D24" s="259"/>
      <c r="E24" s="24" t="s">
        <v>5</v>
      </c>
      <c r="F24" s="38"/>
      <c r="G24" s="288">
        <v>0</v>
      </c>
      <c r="H24" s="289"/>
    </row>
    <row r="25" spans="1:8" ht="20.25" customHeight="1" x14ac:dyDescent="0.5">
      <c r="C25" s="258">
        <f t="shared" si="1"/>
        <v>0</v>
      </c>
      <c r="D25" s="259"/>
      <c r="E25" s="24" t="s">
        <v>8</v>
      </c>
      <c r="F25" s="38"/>
      <c r="G25" s="288">
        <v>0</v>
      </c>
      <c r="H25" s="289"/>
    </row>
    <row r="26" spans="1:8" ht="20.25" customHeight="1" x14ac:dyDescent="0.5">
      <c r="C26" s="258">
        <f t="shared" si="1"/>
        <v>0</v>
      </c>
      <c r="D26" s="259"/>
      <c r="E26" s="24" t="s">
        <v>7</v>
      </c>
      <c r="F26" s="38"/>
      <c r="G26" s="288">
        <v>0</v>
      </c>
      <c r="H26" s="289"/>
    </row>
    <row r="27" spans="1:8" ht="20.25" customHeight="1" x14ac:dyDescent="0.5">
      <c r="C27" s="258">
        <f t="shared" si="1"/>
        <v>0</v>
      </c>
      <c r="D27" s="259"/>
      <c r="E27" s="24" t="s">
        <v>6</v>
      </c>
      <c r="F27" s="38"/>
      <c r="G27" s="288">
        <v>0</v>
      </c>
      <c r="H27" s="289"/>
    </row>
    <row r="28" spans="1:8" ht="20.25" customHeight="1" x14ac:dyDescent="0.5">
      <c r="C28" s="286"/>
      <c r="D28" s="287"/>
      <c r="E28" s="24" t="s">
        <v>112</v>
      </c>
      <c r="F28" s="38"/>
      <c r="G28" s="288">
        <v>0</v>
      </c>
      <c r="H28" s="289"/>
    </row>
    <row r="29" spans="1:8" ht="20.25" customHeight="1" x14ac:dyDescent="0.5">
      <c r="C29" s="258">
        <f t="shared" si="1"/>
        <v>0</v>
      </c>
      <c r="D29" s="259">
        <f>G29</f>
        <v>0</v>
      </c>
      <c r="E29" s="24" t="s">
        <v>176</v>
      </c>
      <c r="F29" s="38" t="s">
        <v>127</v>
      </c>
      <c r="G29" s="288"/>
      <c r="H29" s="289"/>
    </row>
    <row r="30" spans="1:8" ht="20.25" customHeight="1" x14ac:dyDescent="0.5">
      <c r="C30" s="288">
        <f t="shared" si="1"/>
        <v>582153.75</v>
      </c>
      <c r="D30" s="289"/>
      <c r="E30" s="24" t="s">
        <v>37</v>
      </c>
      <c r="F30" s="38" t="s">
        <v>74</v>
      </c>
      <c r="G30" s="288">
        <f>'รายละเอียด(หมายเหตุ2)'!E21</f>
        <v>582153.75</v>
      </c>
      <c r="H30" s="289"/>
    </row>
    <row r="31" spans="1:8" ht="20.25" customHeight="1" x14ac:dyDescent="0.5">
      <c r="C31" s="288">
        <f t="shared" si="1"/>
        <v>60560</v>
      </c>
      <c r="D31" s="289"/>
      <c r="E31" s="24" t="s">
        <v>34</v>
      </c>
      <c r="F31" s="38" t="s">
        <v>61</v>
      </c>
      <c r="G31" s="288">
        <v>60560</v>
      </c>
      <c r="H31" s="289"/>
    </row>
    <row r="32" spans="1:8" ht="20.25" customHeight="1" x14ac:dyDescent="0.5">
      <c r="C32" s="288">
        <f t="shared" si="1"/>
        <v>1600330</v>
      </c>
      <c r="D32" s="289"/>
      <c r="E32" s="24" t="s">
        <v>56</v>
      </c>
      <c r="F32" s="38" t="s">
        <v>60</v>
      </c>
      <c r="G32" s="288">
        <v>1600330</v>
      </c>
      <c r="H32" s="289"/>
    </row>
    <row r="33" spans="1:13" ht="20.25" customHeight="1" x14ac:dyDescent="0.5">
      <c r="C33" s="288">
        <f t="shared" si="1"/>
        <v>508015</v>
      </c>
      <c r="D33" s="289"/>
      <c r="E33" s="24" t="s">
        <v>87</v>
      </c>
      <c r="F33" s="38" t="s">
        <v>75</v>
      </c>
      <c r="G33" s="288">
        <v>508015</v>
      </c>
      <c r="H33" s="289"/>
    </row>
    <row r="34" spans="1:13" s="14" customFormat="1" ht="23.25" x14ac:dyDescent="0.5">
      <c r="A34" s="35"/>
      <c r="B34" s="24"/>
      <c r="C34" s="286">
        <f>G34</f>
        <v>6668</v>
      </c>
      <c r="D34" s="287"/>
      <c r="E34" s="24" t="s">
        <v>450</v>
      </c>
      <c r="F34" s="38" t="s">
        <v>449</v>
      </c>
      <c r="G34" s="288">
        <v>6668</v>
      </c>
      <c r="H34" s="289"/>
    </row>
    <row r="35" spans="1:13" ht="23.25" x14ac:dyDescent="0.5">
      <c r="C35" s="286">
        <f t="shared" ref="C35" si="2">G35</f>
        <v>0</v>
      </c>
      <c r="D35" s="287"/>
      <c r="E35" s="24" t="s">
        <v>92</v>
      </c>
      <c r="F35" s="38" t="s">
        <v>93</v>
      </c>
      <c r="G35" s="288"/>
      <c r="H35" s="289"/>
      <c r="J35" s="24"/>
      <c r="K35" s="24"/>
      <c r="L35" s="24"/>
      <c r="M35" s="24"/>
    </row>
    <row r="36" spans="1:13" ht="23.25" x14ac:dyDescent="0.5">
      <c r="C36" s="286">
        <f>G36</f>
        <v>0</v>
      </c>
      <c r="D36" s="287"/>
      <c r="E36" s="24" t="s">
        <v>139</v>
      </c>
      <c r="F36" s="38" t="s">
        <v>146</v>
      </c>
      <c r="G36" s="288"/>
      <c r="H36" s="289"/>
      <c r="J36" s="24"/>
      <c r="K36" s="24"/>
      <c r="L36" s="24"/>
      <c r="M36" s="24"/>
    </row>
    <row r="37" spans="1:13" ht="23.25" x14ac:dyDescent="0.5">
      <c r="A37" s="44"/>
      <c r="C37" s="286">
        <f>G37</f>
        <v>107699</v>
      </c>
      <c r="D37" s="287"/>
      <c r="E37" s="24" t="s">
        <v>114</v>
      </c>
      <c r="F37" s="38" t="s">
        <v>145</v>
      </c>
      <c r="G37" s="288">
        <v>107699</v>
      </c>
      <c r="H37" s="289"/>
      <c r="J37" s="24"/>
      <c r="K37" s="24"/>
      <c r="L37" s="24"/>
      <c r="M37" s="24"/>
    </row>
    <row r="38" spans="1:13" ht="20.25" customHeight="1" x14ac:dyDescent="0.5">
      <c r="C38" s="288">
        <f t="shared" si="1"/>
        <v>0</v>
      </c>
      <c r="D38" s="289"/>
      <c r="E38" s="24" t="s">
        <v>55</v>
      </c>
      <c r="F38" s="41" t="s">
        <v>73</v>
      </c>
      <c r="G38" s="288"/>
      <c r="H38" s="289"/>
    </row>
    <row r="39" spans="1:13" ht="20.25" customHeight="1" x14ac:dyDescent="0.5">
      <c r="C39" s="292">
        <f>SUM(C29:C38)</f>
        <v>2865425.75</v>
      </c>
      <c r="D39" s="293"/>
      <c r="F39" s="43"/>
      <c r="G39" s="292">
        <f>SUM(G18:G38)</f>
        <v>2865425.75</v>
      </c>
      <c r="H39" s="293"/>
    </row>
    <row r="40" spans="1:13" ht="20.25" customHeight="1" thickBot="1" x14ac:dyDescent="0.55000000000000004">
      <c r="C40" s="319">
        <f>C17+C39</f>
        <v>4070087.75</v>
      </c>
      <c r="D40" s="320"/>
      <c r="E40" s="106" t="s">
        <v>38</v>
      </c>
      <c r="G40" s="319">
        <f>G17+G39</f>
        <v>4070087.75</v>
      </c>
      <c r="H40" s="320"/>
    </row>
    <row r="41" spans="1:13" ht="20.25" customHeight="1" thickTop="1" x14ac:dyDescent="0.5">
      <c r="C41" s="286"/>
      <c r="D41" s="287"/>
      <c r="E41" s="106" t="s">
        <v>39</v>
      </c>
      <c r="G41" s="286"/>
      <c r="H41" s="287"/>
    </row>
    <row r="42" spans="1:13" ht="20.25" customHeight="1" x14ac:dyDescent="0.5">
      <c r="C42" s="288"/>
      <c r="D42" s="289"/>
      <c r="E42" s="106" t="s">
        <v>40</v>
      </c>
      <c r="G42" s="288"/>
      <c r="H42" s="289"/>
    </row>
    <row r="43" spans="1:13" ht="20.25" customHeight="1" x14ac:dyDescent="0.5">
      <c r="C43" s="288">
        <f>'งบรับจ่ายเงินสด  55'!C42:D42-'ใบต่อ  55'!C40:D40</f>
        <v>-484945.58000000007</v>
      </c>
      <c r="D43" s="289"/>
      <c r="E43" s="106" t="s">
        <v>41</v>
      </c>
      <c r="G43" s="288">
        <f>'งบรับจ่ายเงินสด  55'!G42:H42-'ใบต่อ  55'!G40:H40</f>
        <v>-484945.58000000007</v>
      </c>
      <c r="H43" s="289"/>
    </row>
    <row r="44" spans="1:13" ht="20.25" customHeight="1" thickBot="1" x14ac:dyDescent="0.55000000000000004">
      <c r="C44" s="319">
        <f>'งบรับจ่ายเงินสด  55'!C9:D9+'งบรับจ่ายเงินสด  55'!C42:D42-'ใบต่อ  55'!C40:D40</f>
        <v>53259235.899999999</v>
      </c>
      <c r="D44" s="320"/>
      <c r="E44" s="106" t="s">
        <v>42</v>
      </c>
      <c r="G44" s="319">
        <f>'งบรับจ่ายเงินสด  55'!G9:H9+'งบรับจ่ายเงินสด  55'!G42:H42-'ใบต่อ  55'!G40:H40</f>
        <v>53259235.899999999</v>
      </c>
      <c r="H44" s="320"/>
      <c r="I44" s="44">
        <f>C44-G44</f>
        <v>0</v>
      </c>
      <c r="J44" s="35">
        <f>50621044.97</f>
        <v>50621044.969999999</v>
      </c>
    </row>
    <row r="45" spans="1:13" ht="20.25" customHeight="1" thickTop="1" x14ac:dyDescent="0.5">
      <c r="C45" s="45"/>
      <c r="D45" s="45"/>
      <c r="E45" s="106"/>
      <c r="G45" s="107"/>
      <c r="H45" s="107"/>
      <c r="I45" s="44"/>
    </row>
    <row r="46" spans="1:13" ht="30" customHeight="1" x14ac:dyDescent="0.5">
      <c r="A46" s="35" t="s">
        <v>120</v>
      </c>
      <c r="C46" s="45"/>
      <c r="D46" s="45"/>
      <c r="E46" s="260" t="s">
        <v>120</v>
      </c>
      <c r="F46" s="24" t="s">
        <v>123</v>
      </c>
      <c r="G46" s="107"/>
      <c r="H46" s="107"/>
      <c r="J46" s="35">
        <f>G44-J44</f>
        <v>2638190.9299999997</v>
      </c>
    </row>
    <row r="47" spans="1:13" ht="20.25" customHeight="1" x14ac:dyDescent="0.5">
      <c r="A47" s="35" t="s">
        <v>121</v>
      </c>
      <c r="C47" s="45"/>
      <c r="D47" s="45"/>
      <c r="E47" s="260" t="s">
        <v>100</v>
      </c>
      <c r="F47" s="318" t="s">
        <v>100</v>
      </c>
      <c r="G47" s="318"/>
      <c r="H47" s="318"/>
      <c r="J47" s="24"/>
    </row>
    <row r="48" spans="1:13" ht="20.25" customHeight="1" x14ac:dyDescent="0.5">
      <c r="A48" s="35" t="s">
        <v>122</v>
      </c>
      <c r="C48" s="45"/>
      <c r="D48" s="45"/>
      <c r="E48" s="260" t="s">
        <v>101</v>
      </c>
      <c r="F48" s="318" t="s">
        <v>101</v>
      </c>
      <c r="G48" s="318"/>
      <c r="H48" s="318"/>
    </row>
    <row r="49" spans="1:9" ht="20.25" customHeight="1" x14ac:dyDescent="0.5">
      <c r="E49" s="260"/>
      <c r="F49" s="318" t="s">
        <v>451</v>
      </c>
      <c r="G49" s="318"/>
      <c r="H49" s="318"/>
    </row>
    <row r="50" spans="1:9" ht="20.25" customHeight="1" thickBot="1" x14ac:dyDescent="0.55000000000000004">
      <c r="F50" s="28" t="s">
        <v>988</v>
      </c>
      <c r="G50" s="28"/>
      <c r="I50" s="44"/>
    </row>
    <row r="51" spans="1:9" ht="20.25" customHeight="1" thickTop="1" x14ac:dyDescent="0.5">
      <c r="A51" s="321" t="s">
        <v>18</v>
      </c>
      <c r="B51" s="322"/>
      <c r="C51" s="322"/>
      <c r="D51" s="323"/>
      <c r="E51" s="100"/>
      <c r="F51" s="321" t="s">
        <v>19</v>
      </c>
      <c r="G51" s="322"/>
      <c r="H51" s="323"/>
    </row>
    <row r="52" spans="1:9" ht="20.25" customHeight="1" x14ac:dyDescent="0.5">
      <c r="A52" s="324" t="s">
        <v>20</v>
      </c>
      <c r="B52" s="325"/>
      <c r="C52" s="324" t="s">
        <v>22</v>
      </c>
      <c r="D52" s="325"/>
      <c r="E52" s="326" t="s">
        <v>0</v>
      </c>
      <c r="F52" s="101" t="s">
        <v>23</v>
      </c>
      <c r="G52" s="324" t="s">
        <v>22</v>
      </c>
      <c r="H52" s="325"/>
    </row>
    <row r="53" spans="1:9" ht="20.25" customHeight="1" thickBot="1" x14ac:dyDescent="0.55000000000000004">
      <c r="A53" s="328" t="s">
        <v>21</v>
      </c>
      <c r="B53" s="329"/>
      <c r="C53" s="328" t="s">
        <v>21</v>
      </c>
      <c r="D53" s="329"/>
      <c r="E53" s="327"/>
      <c r="F53" s="102" t="s">
        <v>24</v>
      </c>
      <c r="G53" s="328" t="s">
        <v>21</v>
      </c>
      <c r="H53" s="329"/>
    </row>
    <row r="54" spans="1:9" ht="20.25" customHeight="1" thickTop="1" x14ac:dyDescent="0.5">
      <c r="A54" s="36"/>
      <c r="B54" s="37"/>
      <c r="C54" s="296"/>
      <c r="D54" s="297"/>
      <c r="E54" s="28" t="s">
        <v>36</v>
      </c>
      <c r="F54" s="38"/>
      <c r="G54" s="296"/>
      <c r="H54" s="297"/>
    </row>
    <row r="55" spans="1:9" ht="20.25" customHeight="1" x14ac:dyDescent="0.5">
      <c r="A55" s="39">
        <v>21297500</v>
      </c>
      <c r="B55" s="40" t="s">
        <v>16</v>
      </c>
      <c r="C55" s="288">
        <f t="shared" ref="C55:C65" si="3">G55+C6</f>
        <v>52992</v>
      </c>
      <c r="D55" s="289"/>
      <c r="E55" s="24" t="s">
        <v>12</v>
      </c>
      <c r="F55" s="38" t="s">
        <v>62</v>
      </c>
      <c r="G55" s="288">
        <v>52992</v>
      </c>
      <c r="H55" s="289"/>
    </row>
    <row r="56" spans="1:9" ht="20.25" customHeight="1" x14ac:dyDescent="0.5">
      <c r="A56" s="39">
        <f>756000+480000+247500+1620000+3116486+373200+240000+1600080+299160+42000+809340+58080+42000+3439694+31440+387600+67200+1015440+177840+42000+729900+36000+120000</f>
        <v>15730960</v>
      </c>
      <c r="B56" s="40" t="s">
        <v>16</v>
      </c>
      <c r="C56" s="288">
        <f t="shared" si="3"/>
        <v>978702</v>
      </c>
      <c r="D56" s="289"/>
      <c r="E56" s="24" t="s">
        <v>4</v>
      </c>
      <c r="F56" s="38" t="s">
        <v>85</v>
      </c>
      <c r="G56" s="288">
        <v>474730</v>
      </c>
      <c r="H56" s="289"/>
    </row>
    <row r="57" spans="1:9" ht="20.25" customHeight="1" x14ac:dyDescent="0.5">
      <c r="A57" s="39">
        <f>1928880+1092120+996960+594240+1165200+730800+78000+31000+997200+694800+640800+457200</f>
        <v>9407200</v>
      </c>
      <c r="B57" s="40" t="s">
        <v>16</v>
      </c>
      <c r="C57" s="288">
        <f t="shared" si="3"/>
        <v>1264780</v>
      </c>
      <c r="D57" s="289"/>
      <c r="E57" s="24" t="s">
        <v>5</v>
      </c>
      <c r="F57" s="38" t="s">
        <v>86</v>
      </c>
      <c r="G57" s="288">
        <v>620390</v>
      </c>
      <c r="H57" s="289"/>
    </row>
    <row r="58" spans="1:9" ht="20.25" customHeight="1" x14ac:dyDescent="0.5">
      <c r="A58" s="39">
        <f>152000+1430000+400000+60000+30000+50000</f>
        <v>2122000</v>
      </c>
      <c r="B58" s="40" t="s">
        <v>16</v>
      </c>
      <c r="C58" s="288">
        <f t="shared" si="3"/>
        <v>22586</v>
      </c>
      <c r="D58" s="289"/>
      <c r="E58" s="24" t="s">
        <v>6</v>
      </c>
      <c r="F58" s="38" t="s">
        <v>64</v>
      </c>
      <c r="G58" s="288">
        <v>16586</v>
      </c>
      <c r="H58" s="289"/>
    </row>
    <row r="59" spans="1:9" ht="20.25" customHeight="1" x14ac:dyDescent="0.5">
      <c r="A59" s="39">
        <f>347000+4100000+2453500+3666000+3806600+1328000</f>
        <v>15701100</v>
      </c>
      <c r="B59" s="40" t="s">
        <v>16</v>
      </c>
      <c r="C59" s="288">
        <f t="shared" si="3"/>
        <v>949071</v>
      </c>
      <c r="D59" s="289"/>
      <c r="E59" s="24" t="s">
        <v>7</v>
      </c>
      <c r="F59" s="38" t="s">
        <v>65</v>
      </c>
      <c r="G59" s="288">
        <f>876771+42000</f>
        <v>918771</v>
      </c>
      <c r="H59" s="289"/>
    </row>
    <row r="60" spans="1:9" ht="20.25" customHeight="1" x14ac:dyDescent="0.5">
      <c r="A60" s="39">
        <f>210000+980000+839000+1540000+1276240+280000</f>
        <v>5125240</v>
      </c>
      <c r="B60" s="40" t="s">
        <v>16</v>
      </c>
      <c r="C60" s="288">
        <f t="shared" si="3"/>
        <v>173934.66</v>
      </c>
      <c r="D60" s="289"/>
      <c r="E60" s="24" t="s">
        <v>8</v>
      </c>
      <c r="F60" s="38" t="s">
        <v>66</v>
      </c>
      <c r="G60" s="288">
        <v>153934.66</v>
      </c>
      <c r="H60" s="289"/>
    </row>
    <row r="61" spans="1:9" ht="20.25" customHeight="1" x14ac:dyDescent="0.5">
      <c r="A61" s="39">
        <v>930000</v>
      </c>
      <c r="B61" s="40" t="s">
        <v>16</v>
      </c>
      <c r="C61" s="288">
        <f t="shared" si="3"/>
        <v>140268.51999999999</v>
      </c>
      <c r="D61" s="289"/>
      <c r="E61" s="24" t="s">
        <v>9</v>
      </c>
      <c r="F61" s="38" t="s">
        <v>67</v>
      </c>
      <c r="G61" s="288">
        <f>140267.94+0.58</f>
        <v>140268.51999999999</v>
      </c>
      <c r="H61" s="289"/>
    </row>
    <row r="62" spans="1:9" ht="20.25" customHeight="1" x14ac:dyDescent="0.5">
      <c r="A62" s="39">
        <f>1048000+942000</f>
        <v>1990000</v>
      </c>
      <c r="B62" s="40"/>
      <c r="C62" s="288">
        <f t="shared" si="3"/>
        <v>0</v>
      </c>
      <c r="D62" s="289"/>
      <c r="E62" s="24" t="s">
        <v>13</v>
      </c>
      <c r="F62" s="38" t="s">
        <v>68</v>
      </c>
      <c r="G62" s="288"/>
      <c r="H62" s="289"/>
    </row>
    <row r="63" spans="1:9" ht="20.25" customHeight="1" x14ac:dyDescent="0.5">
      <c r="A63" s="39">
        <f>140000+118000+799400+3243800+137000+912800</f>
        <v>5351000</v>
      </c>
      <c r="B63" s="40" t="s">
        <v>16</v>
      </c>
      <c r="C63" s="288">
        <f t="shared" si="3"/>
        <v>0</v>
      </c>
      <c r="D63" s="289"/>
      <c r="E63" s="24" t="s">
        <v>10</v>
      </c>
      <c r="F63" s="38" t="s">
        <v>69</v>
      </c>
      <c r="G63" s="288"/>
      <c r="H63" s="289"/>
    </row>
    <row r="64" spans="1:9" ht="20.25" customHeight="1" x14ac:dyDescent="0.5">
      <c r="A64" s="13">
        <f>310000+8231000+650000</f>
        <v>9191000</v>
      </c>
      <c r="B64" s="40"/>
      <c r="C64" s="288">
        <f t="shared" si="3"/>
        <v>0</v>
      </c>
      <c r="D64" s="289"/>
      <c r="E64" s="24" t="s">
        <v>96</v>
      </c>
      <c r="F64" s="38" t="s">
        <v>70</v>
      </c>
      <c r="G64" s="288">
        <v>0</v>
      </c>
      <c r="H64" s="289"/>
    </row>
    <row r="65" spans="1:8" ht="20.25" customHeight="1" x14ac:dyDescent="0.5">
      <c r="A65" s="13"/>
      <c r="B65" s="40"/>
      <c r="C65" s="288">
        <f t="shared" si="3"/>
        <v>0</v>
      </c>
      <c r="D65" s="289"/>
      <c r="E65" s="24" t="s">
        <v>97</v>
      </c>
      <c r="F65" s="41" t="s">
        <v>94</v>
      </c>
      <c r="G65" s="288"/>
      <c r="H65" s="289"/>
    </row>
    <row r="66" spans="1:8" ht="20.25" customHeight="1" thickBot="1" x14ac:dyDescent="0.55000000000000004">
      <c r="A66" s="103">
        <f>SUM(A55:A65)</f>
        <v>86846000</v>
      </c>
      <c r="B66" s="104" t="s">
        <v>16</v>
      </c>
      <c r="C66" s="319">
        <f>SUM(C55:C65)</f>
        <v>3582334.18</v>
      </c>
      <c r="D66" s="320"/>
      <c r="E66" s="105"/>
      <c r="F66" s="38"/>
      <c r="G66" s="319">
        <f>SUM(G55:G65)</f>
        <v>2377672.1800000002</v>
      </c>
      <c r="H66" s="320"/>
    </row>
    <row r="67" spans="1:8" ht="20.25" customHeight="1" thickTop="1" x14ac:dyDescent="0.5">
      <c r="C67" s="296"/>
      <c r="D67" s="297"/>
      <c r="E67" s="70" t="s">
        <v>134</v>
      </c>
      <c r="F67" s="38"/>
      <c r="G67" s="296">
        <v>0</v>
      </c>
      <c r="H67" s="297"/>
    </row>
    <row r="68" spans="1:8" ht="20.25" customHeight="1" x14ac:dyDescent="0.5">
      <c r="C68" s="286">
        <f>G68</f>
        <v>0</v>
      </c>
      <c r="D68" s="287"/>
      <c r="E68" s="42" t="s">
        <v>136</v>
      </c>
      <c r="F68" s="38"/>
      <c r="G68" s="286"/>
      <c r="H68" s="287"/>
    </row>
    <row r="69" spans="1:8" ht="20.25" customHeight="1" x14ac:dyDescent="0.5">
      <c r="C69" s="288">
        <f t="shared" ref="C69:C76" si="4">G69</f>
        <v>0</v>
      </c>
      <c r="D69" s="289"/>
      <c r="E69" s="42" t="s">
        <v>98</v>
      </c>
      <c r="F69" s="38"/>
      <c r="G69" s="288">
        <v>0</v>
      </c>
      <c r="H69" s="289"/>
    </row>
    <row r="70" spans="1:8" ht="20.25" customHeight="1" x14ac:dyDescent="0.5">
      <c r="C70" s="288">
        <f t="shared" si="4"/>
        <v>0</v>
      </c>
      <c r="D70" s="289"/>
      <c r="E70" s="47" t="s">
        <v>135</v>
      </c>
      <c r="F70" s="38"/>
      <c r="G70" s="288">
        <v>0</v>
      </c>
      <c r="H70" s="289"/>
    </row>
    <row r="71" spans="1:8" ht="20.25" customHeight="1" x14ac:dyDescent="0.5">
      <c r="C71" s="258">
        <f t="shared" si="4"/>
        <v>0</v>
      </c>
      <c r="D71" s="259"/>
      <c r="E71" s="24" t="s">
        <v>12</v>
      </c>
      <c r="F71" s="38"/>
      <c r="G71" s="288">
        <v>0</v>
      </c>
      <c r="H71" s="289"/>
    </row>
    <row r="72" spans="1:8" ht="20.25" customHeight="1" x14ac:dyDescent="0.5">
      <c r="C72" s="258">
        <f t="shared" si="4"/>
        <v>0</v>
      </c>
      <c r="D72" s="259"/>
      <c r="E72" s="24" t="s">
        <v>4</v>
      </c>
      <c r="F72" s="38"/>
      <c r="G72" s="288">
        <v>0</v>
      </c>
      <c r="H72" s="289"/>
    </row>
    <row r="73" spans="1:8" ht="20.25" customHeight="1" x14ac:dyDescent="0.5">
      <c r="C73" s="258">
        <f t="shared" si="4"/>
        <v>0</v>
      </c>
      <c r="D73" s="259"/>
      <c r="E73" s="24" t="s">
        <v>5</v>
      </c>
      <c r="F73" s="38"/>
      <c r="G73" s="288">
        <v>0</v>
      </c>
      <c r="H73" s="289"/>
    </row>
    <row r="74" spans="1:8" ht="20.25" customHeight="1" x14ac:dyDescent="0.5">
      <c r="C74" s="258">
        <f t="shared" si="4"/>
        <v>0</v>
      </c>
      <c r="D74" s="259"/>
      <c r="E74" s="24" t="s">
        <v>8</v>
      </c>
      <c r="F74" s="38"/>
      <c r="G74" s="288">
        <v>0</v>
      </c>
      <c r="H74" s="289"/>
    </row>
    <row r="75" spans="1:8" ht="20.25" customHeight="1" x14ac:dyDescent="0.5">
      <c r="C75" s="258">
        <f t="shared" si="4"/>
        <v>489780</v>
      </c>
      <c r="D75" s="259">
        <f>G75</f>
        <v>489780</v>
      </c>
      <c r="E75" s="24" t="s">
        <v>7</v>
      </c>
      <c r="F75" s="38"/>
      <c r="G75" s="288">
        <v>489780</v>
      </c>
      <c r="H75" s="289"/>
    </row>
    <row r="76" spans="1:8" ht="20.25" customHeight="1" x14ac:dyDescent="0.5">
      <c r="C76" s="258">
        <f t="shared" si="4"/>
        <v>0</v>
      </c>
      <c r="D76" s="259"/>
      <c r="E76" s="24" t="s">
        <v>6</v>
      </c>
      <c r="F76" s="38"/>
      <c r="G76" s="288">
        <v>0</v>
      </c>
      <c r="H76" s="289"/>
    </row>
    <row r="77" spans="1:8" ht="20.25" customHeight="1" x14ac:dyDescent="0.5">
      <c r="C77" s="286">
        <f>G77</f>
        <v>1457678.55</v>
      </c>
      <c r="D77" s="287"/>
      <c r="E77" s="24" t="s">
        <v>112</v>
      </c>
      <c r="F77" s="38"/>
      <c r="G77" s="288">
        <v>1457678.55</v>
      </c>
      <c r="H77" s="289"/>
    </row>
    <row r="78" spans="1:8" ht="20.25" customHeight="1" x14ac:dyDescent="0.5">
      <c r="C78" s="288">
        <f>G78+D29</f>
        <v>0</v>
      </c>
      <c r="D78" s="289"/>
      <c r="E78" s="24" t="s">
        <v>176</v>
      </c>
      <c r="F78" s="38" t="s">
        <v>127</v>
      </c>
      <c r="G78" s="288">
        <v>0</v>
      </c>
      <c r="H78" s="289"/>
    </row>
    <row r="79" spans="1:8" ht="20.25" customHeight="1" x14ac:dyDescent="0.5">
      <c r="C79" s="288">
        <f>C30+G79</f>
        <v>1023844.38</v>
      </c>
      <c r="D79" s="289"/>
      <c r="E79" s="24" t="s">
        <v>37</v>
      </c>
      <c r="F79" s="38" t="s">
        <v>74</v>
      </c>
      <c r="G79" s="288">
        <f>'รายละเอียด(หมายเหตุ2)'!E55</f>
        <v>441690.63</v>
      </c>
      <c r="H79" s="289"/>
    </row>
    <row r="80" spans="1:8" ht="20.25" customHeight="1" x14ac:dyDescent="0.5">
      <c r="C80" s="288">
        <f>C31+G80</f>
        <v>71754</v>
      </c>
      <c r="D80" s="289"/>
      <c r="E80" s="24" t="s">
        <v>34</v>
      </c>
      <c r="F80" s="38" t="s">
        <v>61</v>
      </c>
      <c r="G80" s="288">
        <v>11194</v>
      </c>
      <c r="H80" s="289"/>
    </row>
    <row r="81" spans="1:10" ht="20.25" customHeight="1" x14ac:dyDescent="0.5">
      <c r="C81" s="288">
        <f>C32+G81</f>
        <v>3203620</v>
      </c>
      <c r="D81" s="289"/>
      <c r="E81" s="24" t="s">
        <v>56</v>
      </c>
      <c r="F81" s="38" t="s">
        <v>60</v>
      </c>
      <c r="G81" s="288">
        <v>1603290</v>
      </c>
      <c r="H81" s="289"/>
    </row>
    <row r="82" spans="1:10" ht="20.25" customHeight="1" x14ac:dyDescent="0.5">
      <c r="C82" s="288">
        <f>C33+G82</f>
        <v>582914</v>
      </c>
      <c r="D82" s="289"/>
      <c r="E82" s="24" t="s">
        <v>87</v>
      </c>
      <c r="F82" s="38" t="s">
        <v>75</v>
      </c>
      <c r="G82" s="288">
        <v>74899</v>
      </c>
      <c r="H82" s="289"/>
    </row>
    <row r="83" spans="1:10" ht="20.25" customHeight="1" x14ac:dyDescent="0.5">
      <c r="C83" s="288">
        <f t="shared" ref="C83:C84" si="5">C34+G83</f>
        <v>6668</v>
      </c>
      <c r="D83" s="289"/>
      <c r="E83" s="24" t="s">
        <v>450</v>
      </c>
      <c r="F83" s="38" t="s">
        <v>449</v>
      </c>
      <c r="G83" s="288">
        <v>0</v>
      </c>
      <c r="H83" s="289"/>
    </row>
    <row r="84" spans="1:10" ht="20.25" customHeight="1" x14ac:dyDescent="0.5">
      <c r="C84" s="288">
        <f t="shared" si="5"/>
        <v>0</v>
      </c>
      <c r="D84" s="289"/>
      <c r="E84" s="24" t="s">
        <v>139</v>
      </c>
      <c r="F84" s="38" t="s">
        <v>146</v>
      </c>
      <c r="G84" s="288">
        <v>0</v>
      </c>
      <c r="H84" s="289"/>
    </row>
    <row r="85" spans="1:10" ht="20.25" customHeight="1" x14ac:dyDescent="0.5">
      <c r="A85" s="44"/>
      <c r="C85" s="288">
        <f>C37+G85</f>
        <v>427699</v>
      </c>
      <c r="D85" s="289"/>
      <c r="E85" s="24" t="s">
        <v>114</v>
      </c>
      <c r="F85" s="38" t="s">
        <v>145</v>
      </c>
      <c r="G85" s="288">
        <v>320000</v>
      </c>
      <c r="H85" s="289"/>
    </row>
    <row r="86" spans="1:10" ht="20.25" customHeight="1" x14ac:dyDescent="0.5">
      <c r="C86" s="288">
        <f>G86+C38</f>
        <v>0</v>
      </c>
      <c r="D86" s="289"/>
      <c r="E86" s="24" t="s">
        <v>55</v>
      </c>
      <c r="F86" s="41" t="s">
        <v>73</v>
      </c>
      <c r="G86" s="288"/>
      <c r="H86" s="289"/>
    </row>
    <row r="87" spans="1:10" ht="20.25" customHeight="1" x14ac:dyDescent="0.5">
      <c r="C87" s="292">
        <f>SUM(C68:C86)</f>
        <v>7263957.9299999997</v>
      </c>
      <c r="D87" s="293"/>
      <c r="F87" s="43"/>
      <c r="G87" s="292">
        <f>SUM(G67:G86)</f>
        <v>4398532.18</v>
      </c>
      <c r="H87" s="293"/>
      <c r="I87" s="44"/>
    </row>
    <row r="88" spans="1:10" ht="20.25" customHeight="1" thickBot="1" x14ac:dyDescent="0.55000000000000004">
      <c r="C88" s="319">
        <f>C66+C87</f>
        <v>10846292.109999999</v>
      </c>
      <c r="D88" s="320"/>
      <c r="E88" s="106" t="s">
        <v>38</v>
      </c>
      <c r="G88" s="319">
        <f>G66+G87</f>
        <v>6776204.3599999994</v>
      </c>
      <c r="H88" s="320"/>
      <c r="I88" s="44"/>
    </row>
    <row r="89" spans="1:10" ht="20.25" customHeight="1" thickTop="1" x14ac:dyDescent="0.5">
      <c r="C89" s="108"/>
      <c r="D89" s="109"/>
      <c r="E89" s="106"/>
      <c r="G89" s="108"/>
      <c r="H89" s="109"/>
      <c r="I89" s="44"/>
    </row>
    <row r="90" spans="1:10" ht="20.25" customHeight="1" x14ac:dyDescent="0.5">
      <c r="C90" s="286">
        <f>'งบรับจ่ายเงินสด  55'!C85:D85-'ใบต่อ  55'!C88:D88</f>
        <v>9423994.5199999996</v>
      </c>
      <c r="D90" s="287"/>
      <c r="E90" s="106" t="s">
        <v>39</v>
      </c>
      <c r="G90" s="286">
        <f>'งบรับจ่ายเงินสด  55'!G85:H85-'ใบต่อ  55'!G88:H88</f>
        <v>9908940.0999999996</v>
      </c>
      <c r="H90" s="287"/>
      <c r="I90" s="44"/>
    </row>
    <row r="91" spans="1:10" ht="20.25" customHeight="1" x14ac:dyDescent="0.5">
      <c r="C91" s="288"/>
      <c r="D91" s="289"/>
      <c r="E91" s="106" t="s">
        <v>40</v>
      </c>
      <c r="G91" s="288"/>
      <c r="H91" s="289"/>
    </row>
    <row r="92" spans="1:10" ht="20.25" customHeight="1" x14ac:dyDescent="0.5">
      <c r="C92" s="288"/>
      <c r="D92" s="289"/>
      <c r="E92" s="106" t="s">
        <v>41</v>
      </c>
      <c r="G92" s="288"/>
      <c r="H92" s="289"/>
    </row>
    <row r="93" spans="1:10" ht="20.25" customHeight="1" thickBot="1" x14ac:dyDescent="0.55000000000000004">
      <c r="C93" s="319">
        <f>'งบรับจ่ายเงินสด  55'!C52:D52+'งบรับจ่ายเงินสด  55'!C85:D85-'ใบต่อ  55'!C88:D88</f>
        <v>63168176</v>
      </c>
      <c r="D93" s="320"/>
      <c r="E93" s="106" t="s">
        <v>42</v>
      </c>
      <c r="G93" s="319">
        <f>'งบรับจ่ายเงินสด  55'!G52:H52+'งบรับจ่ายเงินสด  55'!G85:H85-'ใบต่อ  55'!G88:H88</f>
        <v>63168176</v>
      </c>
      <c r="H93" s="320"/>
      <c r="I93" s="44">
        <f>C93-G93</f>
        <v>0</v>
      </c>
      <c r="J93" s="35">
        <f>G93-63168176</f>
        <v>0</v>
      </c>
    </row>
    <row r="94" spans="1:10" ht="20.25" customHeight="1" thickTop="1" x14ac:dyDescent="0.5">
      <c r="C94" s="45"/>
      <c r="D94" s="45"/>
      <c r="E94" s="106"/>
      <c r="G94" s="107"/>
      <c r="H94" s="107"/>
    </row>
    <row r="95" spans="1:10" ht="20.25" customHeight="1" x14ac:dyDescent="0.5">
      <c r="A95" s="35" t="s">
        <v>120</v>
      </c>
      <c r="C95" s="45"/>
      <c r="D95" s="45"/>
      <c r="E95" s="260" t="s">
        <v>120</v>
      </c>
      <c r="F95" s="24" t="s">
        <v>123</v>
      </c>
      <c r="G95" s="107"/>
      <c r="H95" s="107"/>
    </row>
    <row r="96" spans="1:10" ht="20.25" customHeight="1" x14ac:dyDescent="0.5">
      <c r="A96" s="35" t="s">
        <v>121</v>
      </c>
      <c r="C96" s="45"/>
      <c r="D96" s="45"/>
      <c r="E96" s="260" t="s">
        <v>100</v>
      </c>
      <c r="F96" s="318" t="s">
        <v>149</v>
      </c>
      <c r="G96" s="318"/>
      <c r="H96" s="318"/>
    </row>
    <row r="97" spans="1:8" ht="20.25" customHeight="1" x14ac:dyDescent="0.5">
      <c r="A97" s="35" t="s">
        <v>122</v>
      </c>
      <c r="C97" s="45"/>
      <c r="D97" s="45"/>
      <c r="E97" s="260" t="s">
        <v>101</v>
      </c>
      <c r="F97" s="24" t="s">
        <v>976</v>
      </c>
      <c r="G97" s="107"/>
      <c r="H97" s="107"/>
    </row>
    <row r="98" spans="1:8" ht="20.25" customHeight="1" x14ac:dyDescent="0.5">
      <c r="C98" s="45"/>
      <c r="D98" s="45"/>
      <c r="E98" s="260"/>
      <c r="G98" s="107"/>
      <c r="H98" s="107"/>
    </row>
    <row r="99" spans="1:8" ht="20.25" customHeight="1" thickBot="1" x14ac:dyDescent="0.55000000000000004">
      <c r="F99" s="28" t="s">
        <v>989</v>
      </c>
      <c r="G99" s="28"/>
    </row>
    <row r="100" spans="1:8" ht="20.25" customHeight="1" thickTop="1" x14ac:dyDescent="0.5">
      <c r="A100" s="321" t="s">
        <v>18</v>
      </c>
      <c r="B100" s="322"/>
      <c r="C100" s="322"/>
      <c r="D100" s="323"/>
      <c r="E100" s="100"/>
      <c r="F100" s="321" t="s">
        <v>19</v>
      </c>
      <c r="G100" s="322"/>
      <c r="H100" s="323"/>
    </row>
    <row r="101" spans="1:8" ht="20.25" customHeight="1" x14ac:dyDescent="0.5">
      <c r="A101" s="324" t="s">
        <v>20</v>
      </c>
      <c r="B101" s="325"/>
      <c r="C101" s="324" t="s">
        <v>22</v>
      </c>
      <c r="D101" s="325"/>
      <c r="E101" s="326" t="s">
        <v>0</v>
      </c>
      <c r="F101" s="101" t="s">
        <v>23</v>
      </c>
      <c r="G101" s="324" t="s">
        <v>22</v>
      </c>
      <c r="H101" s="325"/>
    </row>
    <row r="102" spans="1:8" ht="20.25" customHeight="1" thickBot="1" x14ac:dyDescent="0.55000000000000004">
      <c r="A102" s="328" t="s">
        <v>21</v>
      </c>
      <c r="B102" s="329"/>
      <c r="C102" s="328" t="s">
        <v>21</v>
      </c>
      <c r="D102" s="329"/>
      <c r="E102" s="327"/>
      <c r="F102" s="102" t="s">
        <v>24</v>
      </c>
      <c r="G102" s="328" t="s">
        <v>21</v>
      </c>
      <c r="H102" s="329"/>
    </row>
    <row r="103" spans="1:8" ht="20.25" customHeight="1" thickTop="1" x14ac:dyDescent="0.5">
      <c r="A103" s="36"/>
      <c r="B103" s="37"/>
      <c r="C103" s="296"/>
      <c r="D103" s="297"/>
      <c r="E103" s="28" t="s">
        <v>36</v>
      </c>
      <c r="F103" s="38"/>
      <c r="G103" s="296"/>
      <c r="H103" s="297"/>
    </row>
    <row r="104" spans="1:8" ht="20.25" customHeight="1" x14ac:dyDescent="0.5">
      <c r="A104" s="39">
        <v>21297500</v>
      </c>
      <c r="B104" s="40" t="s">
        <v>16</v>
      </c>
      <c r="C104" s="288">
        <f t="shared" ref="C104:C113" si="6">C55+G104</f>
        <v>1312764</v>
      </c>
      <c r="D104" s="289"/>
      <c r="E104" s="24" t="s">
        <v>12</v>
      </c>
      <c r="F104" s="38" t="s">
        <v>62</v>
      </c>
      <c r="G104" s="288">
        <f>1240272+19500</f>
        <v>1259772</v>
      </c>
      <c r="H104" s="289"/>
    </row>
    <row r="105" spans="1:8" ht="20.25" customHeight="1" x14ac:dyDescent="0.5">
      <c r="A105" s="39">
        <f>756000+480000+247500+1620000+3116486+373200+240000+1600080+299160+42000+809340+58080+42000+3439694+31440+387600+67200+1015440+177840+42000+729900+36000+120000</f>
        <v>15730960</v>
      </c>
      <c r="B105" s="40" t="s">
        <v>16</v>
      </c>
      <c r="C105" s="288">
        <f t="shared" si="6"/>
        <v>2778113</v>
      </c>
      <c r="D105" s="289"/>
      <c r="E105" s="24" t="s">
        <v>4</v>
      </c>
      <c r="F105" s="38" t="s">
        <v>85</v>
      </c>
      <c r="G105" s="288">
        <f>984911+761290+16800+300+6210+13100+16800</f>
        <v>1799411</v>
      </c>
      <c r="H105" s="289"/>
    </row>
    <row r="106" spans="1:8" ht="20.25" customHeight="1" x14ac:dyDescent="0.5">
      <c r="A106" s="39">
        <f>1928880+1092120+996960+594240+1165200+730800+78000+31000+997200+694800+640800+457200</f>
        <v>9407200</v>
      </c>
      <c r="B106" s="40" t="s">
        <v>16</v>
      </c>
      <c r="C106" s="288">
        <f t="shared" si="6"/>
        <v>1912170</v>
      </c>
      <c r="D106" s="289"/>
      <c r="E106" s="24" t="s">
        <v>5</v>
      </c>
      <c r="F106" s="38" t="s">
        <v>86</v>
      </c>
      <c r="G106" s="288">
        <f>620390+6890+20110</f>
        <v>647390</v>
      </c>
      <c r="H106" s="289"/>
    </row>
    <row r="107" spans="1:8" ht="20.25" customHeight="1" x14ac:dyDescent="0.5">
      <c r="A107" s="39">
        <f>152000+1430000+400000+60000+30000+50000</f>
        <v>2122000</v>
      </c>
      <c r="B107" s="40" t="s">
        <v>16</v>
      </c>
      <c r="C107" s="288">
        <f t="shared" si="6"/>
        <v>40186</v>
      </c>
      <c r="D107" s="289"/>
      <c r="E107" s="24" t="s">
        <v>6</v>
      </c>
      <c r="F107" s="38" t="s">
        <v>64</v>
      </c>
      <c r="G107" s="288">
        <v>17600</v>
      </c>
      <c r="H107" s="289"/>
    </row>
    <row r="108" spans="1:8" ht="20.25" customHeight="1" x14ac:dyDescent="0.5">
      <c r="A108" s="39">
        <f>347000+4100000+2453500+3666000+3806600+1328000</f>
        <v>15701100</v>
      </c>
      <c r="B108" s="40" t="s">
        <v>16</v>
      </c>
      <c r="C108" s="288">
        <f t="shared" si="6"/>
        <v>2763434</v>
      </c>
      <c r="D108" s="289"/>
      <c r="E108" s="24" t="s">
        <v>7</v>
      </c>
      <c r="F108" s="38" t="s">
        <v>65</v>
      </c>
      <c r="G108" s="288">
        <f>1792357+10812+3772+3772+3650</f>
        <v>1814363</v>
      </c>
      <c r="H108" s="289"/>
    </row>
    <row r="109" spans="1:8" ht="20.25" customHeight="1" x14ac:dyDescent="0.5">
      <c r="A109" s="39">
        <f>210000+980000+839000+1540000+1276240+280000</f>
        <v>5125240</v>
      </c>
      <c r="B109" s="40" t="s">
        <v>16</v>
      </c>
      <c r="C109" s="288">
        <f t="shared" si="6"/>
        <v>599769.66</v>
      </c>
      <c r="D109" s="289"/>
      <c r="E109" s="24" t="s">
        <v>8</v>
      </c>
      <c r="F109" s="38" t="s">
        <v>66</v>
      </c>
      <c r="G109" s="288">
        <v>425835</v>
      </c>
      <c r="H109" s="289"/>
    </row>
    <row r="110" spans="1:8" ht="20.25" customHeight="1" x14ac:dyDescent="0.5">
      <c r="A110" s="39">
        <v>930000</v>
      </c>
      <c r="B110" s="40" t="s">
        <v>16</v>
      </c>
      <c r="C110" s="288">
        <f t="shared" si="6"/>
        <v>286259.28000000003</v>
      </c>
      <c r="D110" s="289"/>
      <c r="E110" s="24" t="s">
        <v>9</v>
      </c>
      <c r="F110" s="38" t="s">
        <v>67</v>
      </c>
      <c r="G110" s="288">
        <v>145990.76</v>
      </c>
      <c r="H110" s="289"/>
    </row>
    <row r="111" spans="1:8" ht="20.25" customHeight="1" x14ac:dyDescent="0.5">
      <c r="A111" s="39">
        <f>1048000+942000</f>
        <v>1990000</v>
      </c>
      <c r="B111" s="40"/>
      <c r="C111" s="288">
        <f t="shared" si="6"/>
        <v>73000</v>
      </c>
      <c r="D111" s="289"/>
      <c r="E111" s="24" t="s">
        <v>13</v>
      </c>
      <c r="F111" s="38" t="s">
        <v>68</v>
      </c>
      <c r="G111" s="288">
        <v>73000</v>
      </c>
      <c r="H111" s="289"/>
    </row>
    <row r="112" spans="1:8" ht="20.25" customHeight="1" x14ac:dyDescent="0.5">
      <c r="A112" s="39">
        <f>140000+118000+799400+3243800+137000+912800</f>
        <v>5351000</v>
      </c>
      <c r="B112" s="40" t="s">
        <v>16</v>
      </c>
      <c r="C112" s="288">
        <f t="shared" si="6"/>
        <v>99600</v>
      </c>
      <c r="D112" s="289"/>
      <c r="E112" s="24" t="s">
        <v>10</v>
      </c>
      <c r="F112" s="38" t="s">
        <v>69</v>
      </c>
      <c r="G112" s="288">
        <v>99600</v>
      </c>
      <c r="H112" s="289"/>
    </row>
    <row r="113" spans="1:8" ht="20.25" customHeight="1" x14ac:dyDescent="0.5">
      <c r="A113" s="13">
        <f>310000+8231000+650000</f>
        <v>9191000</v>
      </c>
      <c r="B113" s="40"/>
      <c r="C113" s="288">
        <f t="shared" si="6"/>
        <v>0</v>
      </c>
      <c r="D113" s="289"/>
      <c r="E113" s="24" t="s">
        <v>96</v>
      </c>
      <c r="F113" s="38" t="s">
        <v>70</v>
      </c>
      <c r="G113" s="288">
        <v>0</v>
      </c>
      <c r="H113" s="289"/>
    </row>
    <row r="114" spans="1:8" ht="20.25" customHeight="1" x14ac:dyDescent="0.5">
      <c r="A114" s="13"/>
      <c r="B114" s="40"/>
      <c r="C114" s="288">
        <f>G114+C67</f>
        <v>0</v>
      </c>
      <c r="D114" s="289"/>
      <c r="E114" s="24" t="s">
        <v>97</v>
      </c>
      <c r="F114" s="41" t="s">
        <v>94</v>
      </c>
      <c r="G114" s="288"/>
      <c r="H114" s="289"/>
    </row>
    <row r="115" spans="1:8" ht="20.25" customHeight="1" thickBot="1" x14ac:dyDescent="0.55000000000000004">
      <c r="A115" s="103">
        <f>SUM(A104:A114)</f>
        <v>86846000</v>
      </c>
      <c r="B115" s="104" t="s">
        <v>16</v>
      </c>
      <c r="C115" s="319">
        <f>SUM(C104:C114)</f>
        <v>9865295.9399999995</v>
      </c>
      <c r="D115" s="320"/>
      <c r="E115" s="105"/>
      <c r="F115" s="38"/>
      <c r="G115" s="319">
        <f>SUM(G104:G114)</f>
        <v>6282961.7599999998</v>
      </c>
      <c r="H115" s="320"/>
    </row>
    <row r="116" spans="1:8" ht="20.25" customHeight="1" thickTop="1" x14ac:dyDescent="0.5">
      <c r="C116" s="296">
        <f>G116</f>
        <v>0</v>
      </c>
      <c r="D116" s="297"/>
      <c r="E116" s="70" t="s">
        <v>134</v>
      </c>
      <c r="F116" s="38"/>
      <c r="G116" s="296">
        <v>0</v>
      </c>
      <c r="H116" s="297"/>
    </row>
    <row r="117" spans="1:8" ht="20.25" customHeight="1" x14ac:dyDescent="0.5">
      <c r="C117" s="286">
        <f>G117+C68</f>
        <v>3830200</v>
      </c>
      <c r="D117" s="287"/>
      <c r="E117" s="42" t="s">
        <v>136</v>
      </c>
      <c r="F117" s="38"/>
      <c r="G117" s="286">
        <f>1121700+1125800+150000+1126500+2000+3200+150000+151000</f>
        <v>3830200</v>
      </c>
      <c r="H117" s="287"/>
    </row>
    <row r="118" spans="1:8" ht="20.25" customHeight="1" x14ac:dyDescent="0.5">
      <c r="C118" s="288">
        <f t="shared" ref="C118:C124" si="7">G118</f>
        <v>0</v>
      </c>
      <c r="D118" s="289"/>
      <c r="E118" s="47" t="s">
        <v>135</v>
      </c>
      <c r="F118" s="38"/>
      <c r="G118" s="288">
        <v>0</v>
      </c>
      <c r="H118" s="289"/>
    </row>
    <row r="119" spans="1:8" ht="20.25" customHeight="1" x14ac:dyDescent="0.5">
      <c r="C119" s="258">
        <f t="shared" si="7"/>
        <v>0</v>
      </c>
      <c r="D119" s="259"/>
      <c r="E119" s="24" t="s">
        <v>12</v>
      </c>
      <c r="F119" s="38"/>
      <c r="G119" s="288">
        <v>0</v>
      </c>
      <c r="H119" s="289"/>
    </row>
    <row r="120" spans="1:8" ht="20.25" customHeight="1" x14ac:dyDescent="0.5">
      <c r="C120" s="258">
        <f t="shared" si="7"/>
        <v>0</v>
      </c>
      <c r="D120" s="259"/>
      <c r="E120" s="24" t="s">
        <v>4</v>
      </c>
      <c r="F120" s="38"/>
      <c r="G120" s="288">
        <v>0</v>
      </c>
      <c r="H120" s="289"/>
    </row>
    <row r="121" spans="1:8" ht="20.25" customHeight="1" x14ac:dyDescent="0.5">
      <c r="C121" s="258">
        <f t="shared" si="7"/>
        <v>0</v>
      </c>
      <c r="D121" s="259"/>
      <c r="E121" s="24" t="s">
        <v>5</v>
      </c>
      <c r="F121" s="38"/>
      <c r="G121" s="288">
        <v>0</v>
      </c>
      <c r="H121" s="289"/>
    </row>
    <row r="122" spans="1:8" ht="20.25" customHeight="1" x14ac:dyDescent="0.5">
      <c r="C122" s="258">
        <f t="shared" si="7"/>
        <v>0</v>
      </c>
      <c r="D122" s="259"/>
      <c r="E122" s="24" t="s">
        <v>8</v>
      </c>
      <c r="F122" s="38"/>
      <c r="G122" s="288">
        <v>0</v>
      </c>
      <c r="H122" s="289"/>
    </row>
    <row r="123" spans="1:8" ht="20.25" customHeight="1" x14ac:dyDescent="0.5">
      <c r="C123" s="258">
        <f t="shared" si="7"/>
        <v>0</v>
      </c>
      <c r="D123" s="259">
        <f>D75</f>
        <v>489780</v>
      </c>
      <c r="E123" s="24" t="s">
        <v>7</v>
      </c>
      <c r="F123" s="38"/>
      <c r="G123" s="288">
        <v>0</v>
      </c>
      <c r="H123" s="289"/>
    </row>
    <row r="124" spans="1:8" ht="20.25" customHeight="1" x14ac:dyDescent="0.5">
      <c r="C124" s="258">
        <f t="shared" si="7"/>
        <v>0</v>
      </c>
      <c r="D124" s="259">
        <f>G124</f>
        <v>0</v>
      </c>
      <c r="E124" s="24" t="s">
        <v>6</v>
      </c>
      <c r="F124" s="38"/>
      <c r="G124" s="288"/>
      <c r="H124" s="289"/>
    </row>
    <row r="125" spans="1:8" ht="20.25" customHeight="1" x14ac:dyDescent="0.5">
      <c r="C125" s="286">
        <f>C77+G125</f>
        <v>1457678.55</v>
      </c>
      <c r="D125" s="287"/>
      <c r="E125" s="24" t="s">
        <v>112</v>
      </c>
      <c r="F125" s="38"/>
      <c r="G125" s="288">
        <v>0</v>
      </c>
      <c r="H125" s="289"/>
    </row>
    <row r="126" spans="1:8" ht="20.25" customHeight="1" x14ac:dyDescent="0.5">
      <c r="C126" s="288">
        <f>C78+G126</f>
        <v>0</v>
      </c>
      <c r="D126" s="289"/>
      <c r="E126" s="24" t="s">
        <v>176</v>
      </c>
      <c r="F126" s="38" t="s">
        <v>127</v>
      </c>
      <c r="G126" s="288"/>
      <c r="H126" s="289"/>
    </row>
    <row r="127" spans="1:8" ht="20.25" customHeight="1" x14ac:dyDescent="0.5">
      <c r="C127" s="288">
        <f>C79+G127</f>
        <v>1585770.48</v>
      </c>
      <c r="D127" s="289"/>
      <c r="E127" s="24" t="s">
        <v>37</v>
      </c>
      <c r="F127" s="38" t="s">
        <v>74</v>
      </c>
      <c r="G127" s="288">
        <f>'รายละเอียด(หมายเหตุ2)'!E92</f>
        <v>561926.1</v>
      </c>
      <c r="H127" s="289"/>
    </row>
    <row r="128" spans="1:8" ht="20.25" customHeight="1" x14ac:dyDescent="0.5">
      <c r="C128" s="288">
        <f>C80+G128</f>
        <v>151522</v>
      </c>
      <c r="D128" s="289"/>
      <c r="E128" s="24" t="s">
        <v>34</v>
      </c>
      <c r="F128" s="38" t="s">
        <v>61</v>
      </c>
      <c r="G128" s="288">
        <v>79768</v>
      </c>
      <c r="H128" s="289"/>
    </row>
    <row r="129" spans="1:9" ht="20.25" customHeight="1" x14ac:dyDescent="0.5">
      <c r="C129" s="288">
        <f>C81+G129</f>
        <v>3680340</v>
      </c>
      <c r="D129" s="289"/>
      <c r="E129" s="24" t="s">
        <v>56</v>
      </c>
      <c r="F129" s="38" t="s">
        <v>60</v>
      </c>
      <c r="G129" s="288">
        <v>476720</v>
      </c>
      <c r="H129" s="289"/>
    </row>
    <row r="130" spans="1:9" ht="20.25" customHeight="1" x14ac:dyDescent="0.5">
      <c r="C130" s="288">
        <f>C82</f>
        <v>582914</v>
      </c>
      <c r="D130" s="289"/>
      <c r="E130" s="24" t="s">
        <v>87</v>
      </c>
      <c r="F130" s="38" t="s">
        <v>75</v>
      </c>
      <c r="G130" s="288"/>
      <c r="H130" s="289"/>
    </row>
    <row r="131" spans="1:9" ht="20.25" customHeight="1" x14ac:dyDescent="0.5">
      <c r="C131" s="288">
        <f>C83</f>
        <v>6668</v>
      </c>
      <c r="D131" s="289"/>
      <c r="E131" s="24" t="s">
        <v>92</v>
      </c>
      <c r="F131" s="38" t="s">
        <v>93</v>
      </c>
      <c r="G131" s="288">
        <v>0</v>
      </c>
      <c r="H131" s="289"/>
    </row>
    <row r="132" spans="1:9" ht="20.25" customHeight="1" x14ac:dyDescent="0.5">
      <c r="C132" s="288">
        <f>C84</f>
        <v>0</v>
      </c>
      <c r="D132" s="289"/>
      <c r="E132" s="24" t="s">
        <v>139</v>
      </c>
      <c r="F132" s="38" t="s">
        <v>146</v>
      </c>
      <c r="G132" s="288">
        <v>0</v>
      </c>
      <c r="H132" s="289"/>
    </row>
    <row r="133" spans="1:9" ht="20.25" customHeight="1" x14ac:dyDescent="0.5">
      <c r="A133" s="44"/>
      <c r="C133" s="288">
        <f>C85</f>
        <v>427699</v>
      </c>
      <c r="D133" s="289"/>
      <c r="E133" s="24" t="s">
        <v>114</v>
      </c>
      <c r="F133" s="38" t="s">
        <v>145</v>
      </c>
      <c r="G133" s="288">
        <v>0</v>
      </c>
      <c r="H133" s="289"/>
    </row>
    <row r="134" spans="1:9" ht="20.25" customHeight="1" x14ac:dyDescent="0.5">
      <c r="C134" s="288">
        <f>C86+G134</f>
        <v>494108.68</v>
      </c>
      <c r="D134" s="289"/>
      <c r="E134" s="24" t="s">
        <v>55</v>
      </c>
      <c r="F134" s="41" t="s">
        <v>73</v>
      </c>
      <c r="G134" s="288">
        <v>494108.68</v>
      </c>
      <c r="H134" s="289"/>
    </row>
    <row r="135" spans="1:9" ht="20.25" customHeight="1" x14ac:dyDescent="0.5">
      <c r="C135" s="292">
        <f>D123+C125+C127+C128+C129+C130+C131+C133+C134+C117</f>
        <v>12706680.710000001</v>
      </c>
      <c r="D135" s="293"/>
      <c r="F135" s="43"/>
      <c r="G135" s="292">
        <f>SUM(G116:G134)</f>
        <v>5442722.7799999993</v>
      </c>
      <c r="H135" s="293"/>
    </row>
    <row r="136" spans="1:9" ht="20.25" customHeight="1" thickBot="1" x14ac:dyDescent="0.55000000000000004">
      <c r="C136" s="319">
        <f>C115+C135</f>
        <v>22571976.649999999</v>
      </c>
      <c r="D136" s="320"/>
      <c r="E136" s="106" t="s">
        <v>38</v>
      </c>
      <c r="G136" s="319">
        <f>G115+G135</f>
        <v>11725684.539999999</v>
      </c>
      <c r="H136" s="320"/>
    </row>
    <row r="137" spans="1:9" ht="20.25" customHeight="1" thickTop="1" x14ac:dyDescent="0.5">
      <c r="C137" s="108"/>
      <c r="D137" s="109"/>
      <c r="E137" s="106"/>
      <c r="G137" s="108"/>
      <c r="H137" s="109"/>
    </row>
    <row r="138" spans="1:9" ht="20.25" customHeight="1" x14ac:dyDescent="0.5">
      <c r="C138" s="286">
        <f>'งบรับจ่ายเงินสด  55'!C129:D129-'ใบต่อ  55'!C136:D136</f>
        <v>33828393.289999999</v>
      </c>
      <c r="D138" s="287"/>
      <c r="E138" s="106" t="s">
        <v>39</v>
      </c>
      <c r="G138" s="286">
        <f>'งบรับจ่ายเงินสด  55'!G129:H129-'ใบต่อ  55'!G136:H136</f>
        <v>24404398.770000003</v>
      </c>
      <c r="H138" s="287"/>
    </row>
    <row r="139" spans="1:9" ht="20.25" customHeight="1" x14ac:dyDescent="0.5">
      <c r="C139" s="288"/>
      <c r="D139" s="289"/>
      <c r="E139" s="106" t="s">
        <v>40</v>
      </c>
      <c r="G139" s="288"/>
      <c r="H139" s="289"/>
    </row>
    <row r="140" spans="1:9" ht="20.25" customHeight="1" x14ac:dyDescent="0.5">
      <c r="C140" s="288"/>
      <c r="D140" s="289"/>
      <c r="E140" s="106" t="s">
        <v>41</v>
      </c>
      <c r="G140" s="286"/>
      <c r="H140" s="287"/>
    </row>
    <row r="141" spans="1:9" ht="20.25" customHeight="1" thickBot="1" x14ac:dyDescent="0.55000000000000004">
      <c r="C141" s="319">
        <f>'งบรับจ่ายเงินสด  55'!C94:D94+'งบรับจ่ายเงินสด  55'!C129:D129-'ใบต่อ  55'!C136:D136</f>
        <v>87572574.769999981</v>
      </c>
      <c r="D141" s="320"/>
      <c r="E141" s="106" t="s">
        <v>42</v>
      </c>
      <c r="G141" s="319">
        <f>'งบรับจ่ายเงินสด  55'!G94:H94+'งบรับจ่ายเงินสด  55'!G129:H129-'ใบต่อ  55'!G136:H136</f>
        <v>87572574.770000011</v>
      </c>
      <c r="H141" s="320"/>
      <c r="I141" s="44">
        <f>C141-G141</f>
        <v>0</v>
      </c>
    </row>
    <row r="142" spans="1:9" ht="20.25" customHeight="1" thickTop="1" x14ac:dyDescent="0.5">
      <c r="C142" s="45" t="s">
        <v>179</v>
      </c>
      <c r="D142" s="45"/>
      <c r="E142" s="106"/>
      <c r="G142" s="107"/>
      <c r="H142" s="107"/>
    </row>
    <row r="143" spans="1:9" ht="20.25" customHeight="1" x14ac:dyDescent="0.5">
      <c r="A143" s="35" t="s">
        <v>120</v>
      </c>
      <c r="C143" s="45"/>
      <c r="D143" s="45"/>
      <c r="E143" s="260" t="s">
        <v>120</v>
      </c>
      <c r="F143" s="24" t="s">
        <v>123</v>
      </c>
      <c r="G143" s="107"/>
      <c r="H143" s="107"/>
    </row>
    <row r="144" spans="1:9" ht="20.25" customHeight="1" x14ac:dyDescent="0.5">
      <c r="A144" s="35" t="s">
        <v>121</v>
      </c>
      <c r="C144" s="45"/>
      <c r="D144" s="45"/>
      <c r="E144" s="260" t="s">
        <v>100</v>
      </c>
      <c r="F144" s="318" t="s">
        <v>149</v>
      </c>
      <c r="G144" s="318"/>
      <c r="H144" s="318"/>
    </row>
    <row r="145" spans="1:11" ht="20.25" customHeight="1" x14ac:dyDescent="0.5">
      <c r="A145" s="35" t="s">
        <v>122</v>
      </c>
      <c r="C145" s="45"/>
      <c r="D145" s="45"/>
      <c r="E145" s="260" t="s">
        <v>101</v>
      </c>
      <c r="F145" s="24" t="s">
        <v>990</v>
      </c>
      <c r="G145" s="107"/>
      <c r="H145" s="107"/>
    </row>
    <row r="149" spans="1:11" ht="20.25" customHeight="1" thickBot="1" x14ac:dyDescent="0.55000000000000004">
      <c r="F149" s="28" t="s">
        <v>998</v>
      </c>
      <c r="G149" s="28"/>
    </row>
    <row r="150" spans="1:11" ht="20.25" customHeight="1" thickTop="1" x14ac:dyDescent="0.5">
      <c r="A150" s="321" t="s">
        <v>18</v>
      </c>
      <c r="B150" s="322"/>
      <c r="C150" s="322"/>
      <c r="D150" s="323"/>
      <c r="E150" s="100"/>
      <c r="F150" s="321" t="s">
        <v>19</v>
      </c>
      <c r="G150" s="322"/>
      <c r="H150" s="323"/>
    </row>
    <row r="151" spans="1:11" ht="20.25" customHeight="1" x14ac:dyDescent="0.5">
      <c r="A151" s="324" t="s">
        <v>20</v>
      </c>
      <c r="B151" s="325"/>
      <c r="C151" s="324" t="s">
        <v>22</v>
      </c>
      <c r="D151" s="325"/>
      <c r="E151" s="326" t="s">
        <v>0</v>
      </c>
      <c r="F151" s="101" t="s">
        <v>23</v>
      </c>
      <c r="G151" s="324" t="s">
        <v>22</v>
      </c>
      <c r="H151" s="325"/>
    </row>
    <row r="152" spans="1:11" ht="20.25" customHeight="1" thickBot="1" x14ac:dyDescent="0.55000000000000004">
      <c r="A152" s="328" t="s">
        <v>21</v>
      </c>
      <c r="B152" s="329"/>
      <c r="C152" s="328" t="s">
        <v>21</v>
      </c>
      <c r="D152" s="329"/>
      <c r="E152" s="327"/>
      <c r="F152" s="102" t="s">
        <v>24</v>
      </c>
      <c r="G152" s="328" t="s">
        <v>21</v>
      </c>
      <c r="H152" s="329"/>
    </row>
    <row r="153" spans="1:11" ht="20.25" customHeight="1" thickTop="1" x14ac:dyDescent="0.5">
      <c r="A153" s="36"/>
      <c r="B153" s="37"/>
      <c r="C153" s="296"/>
      <c r="D153" s="297"/>
      <c r="E153" s="28" t="s">
        <v>36</v>
      </c>
      <c r="F153" s="38"/>
      <c r="G153" s="296"/>
      <c r="H153" s="297"/>
    </row>
    <row r="154" spans="1:11" ht="20.25" customHeight="1" x14ac:dyDescent="0.5">
      <c r="A154" s="39">
        <v>21297500</v>
      </c>
      <c r="B154" s="40" t="s">
        <v>16</v>
      </c>
      <c r="C154" s="288">
        <f t="shared" ref="C154:C164" si="8">C104+G154</f>
        <v>1539336</v>
      </c>
      <c r="D154" s="289"/>
      <c r="E154" s="24" t="s">
        <v>12</v>
      </c>
      <c r="F154" s="38" t="s">
        <v>62</v>
      </c>
      <c r="G154" s="288">
        <f>106572+60000+60000</f>
        <v>226572</v>
      </c>
      <c r="H154" s="289"/>
    </row>
    <row r="155" spans="1:11" ht="20.25" customHeight="1" x14ac:dyDescent="0.5">
      <c r="A155" s="39">
        <f>756000+480000+247500+1620000+3116486+373200+240000+1600080+299160+42000+809340+58080+42000+3439694+31440+387600+67200+1015440+177840+42000+729900+36000+120000</f>
        <v>15730960</v>
      </c>
      <c r="B155" s="40" t="s">
        <v>16</v>
      </c>
      <c r="C155" s="288">
        <f t="shared" si="8"/>
        <v>3857496</v>
      </c>
      <c r="D155" s="289"/>
      <c r="E155" s="24" t="s">
        <v>4</v>
      </c>
      <c r="F155" s="38" t="s">
        <v>85</v>
      </c>
      <c r="G155" s="288">
        <v>1079383</v>
      </c>
      <c r="H155" s="289"/>
    </row>
    <row r="156" spans="1:11" ht="20.25" customHeight="1" x14ac:dyDescent="0.5">
      <c r="A156" s="39">
        <f>1928880+1092120+996960+594240+1165200+730800+78000+31000+997200+694800+640800+457200</f>
        <v>9407200</v>
      </c>
      <c r="B156" s="40" t="s">
        <v>16</v>
      </c>
      <c r="C156" s="288">
        <f t="shared" si="8"/>
        <v>2541560</v>
      </c>
      <c r="D156" s="289"/>
      <c r="E156" s="24" t="s">
        <v>5</v>
      </c>
      <c r="F156" s="38" t="s">
        <v>86</v>
      </c>
      <c r="G156" s="288">
        <v>629390</v>
      </c>
      <c r="H156" s="289"/>
    </row>
    <row r="157" spans="1:11" ht="20.25" customHeight="1" x14ac:dyDescent="0.5">
      <c r="A157" s="39">
        <f>152000+1430000+400000+60000+30000+50000</f>
        <v>2122000</v>
      </c>
      <c r="B157" s="40" t="s">
        <v>16</v>
      </c>
      <c r="C157" s="288">
        <f t="shared" si="8"/>
        <v>59186</v>
      </c>
      <c r="D157" s="289"/>
      <c r="E157" s="24" t="s">
        <v>6</v>
      </c>
      <c r="F157" s="38" t="s">
        <v>64</v>
      </c>
      <c r="G157" s="288">
        <v>19000</v>
      </c>
      <c r="H157" s="289"/>
    </row>
    <row r="158" spans="1:11" ht="20.25" customHeight="1" x14ac:dyDescent="0.5">
      <c r="A158" s="39">
        <f>347000+4100000+2453500+3666000+3806600+1328000</f>
        <v>15701100</v>
      </c>
      <c r="B158" s="40" t="s">
        <v>16</v>
      </c>
      <c r="C158" s="288">
        <f t="shared" si="8"/>
        <v>6125120</v>
      </c>
      <c r="D158" s="289"/>
      <c r="E158" s="24" t="s">
        <v>7</v>
      </c>
      <c r="F158" s="38" t="s">
        <v>65</v>
      </c>
      <c r="G158" s="288">
        <f>3318930+102756-60000</f>
        <v>3361686</v>
      </c>
      <c r="H158" s="289"/>
    </row>
    <row r="159" spans="1:11" ht="20.25" customHeight="1" x14ac:dyDescent="0.5">
      <c r="A159" s="39">
        <f>210000+980000+839000+1540000+1276240+280000</f>
        <v>5125240</v>
      </c>
      <c r="B159" s="40" t="s">
        <v>16</v>
      </c>
      <c r="C159" s="288">
        <f t="shared" si="8"/>
        <v>1262946.6600000001</v>
      </c>
      <c r="D159" s="289"/>
      <c r="E159" s="24" t="s">
        <v>8</v>
      </c>
      <c r="F159" s="38" t="s">
        <v>66</v>
      </c>
      <c r="G159" s="288">
        <v>663177</v>
      </c>
      <c r="H159" s="289"/>
      <c r="J159" s="288">
        <f>24240+3560+6000+60000+5406+3550</f>
        <v>102756</v>
      </c>
      <c r="K159" s="289"/>
    </row>
    <row r="160" spans="1:11" ht="20.25" customHeight="1" x14ac:dyDescent="0.5">
      <c r="A160" s="39">
        <v>930000</v>
      </c>
      <c r="B160" s="40" t="s">
        <v>16</v>
      </c>
      <c r="C160" s="288">
        <f t="shared" si="8"/>
        <v>419743.96</v>
      </c>
      <c r="D160" s="289"/>
      <c r="E160" s="24" t="s">
        <v>9</v>
      </c>
      <c r="F160" s="38" t="s">
        <v>67</v>
      </c>
      <c r="G160" s="288">
        <v>133484.68</v>
      </c>
      <c r="H160" s="289"/>
    </row>
    <row r="161" spans="1:8" ht="20.25" customHeight="1" x14ac:dyDescent="0.5">
      <c r="A161" s="39">
        <f>1048000+942000</f>
        <v>1990000</v>
      </c>
      <c r="B161" s="40"/>
      <c r="C161" s="288">
        <f t="shared" si="8"/>
        <v>1302536.7</v>
      </c>
      <c r="D161" s="289"/>
      <c r="E161" s="24" t="s">
        <v>13</v>
      </c>
      <c r="F161" s="38" t="s">
        <v>68</v>
      </c>
      <c r="G161" s="288">
        <v>1229536.7</v>
      </c>
      <c r="H161" s="289"/>
    </row>
    <row r="162" spans="1:8" ht="20.25" customHeight="1" x14ac:dyDescent="0.5">
      <c r="A162" s="39">
        <f>140000+118000+799400+3243800+137000+912800</f>
        <v>5351000</v>
      </c>
      <c r="B162" s="40" t="s">
        <v>16</v>
      </c>
      <c r="C162" s="288">
        <f t="shared" si="8"/>
        <v>2677600</v>
      </c>
      <c r="D162" s="289"/>
      <c r="E162" s="24" t="s">
        <v>10</v>
      </c>
      <c r="F162" s="38" t="s">
        <v>69</v>
      </c>
      <c r="G162" s="288">
        <v>2578000</v>
      </c>
      <c r="H162" s="289"/>
    </row>
    <row r="163" spans="1:8" ht="20.25" customHeight="1" x14ac:dyDescent="0.5">
      <c r="A163" s="13">
        <f>310000+8231000+650000</f>
        <v>9191000</v>
      </c>
      <c r="B163" s="40"/>
      <c r="C163" s="288">
        <f t="shared" si="8"/>
        <v>490800</v>
      </c>
      <c r="D163" s="289"/>
      <c r="E163" s="24" t="s">
        <v>96</v>
      </c>
      <c r="F163" s="38" t="s">
        <v>70</v>
      </c>
      <c r="G163" s="288">
        <v>490800</v>
      </c>
      <c r="H163" s="289"/>
    </row>
    <row r="164" spans="1:8" ht="20.25" customHeight="1" x14ac:dyDescent="0.5">
      <c r="A164" s="13"/>
      <c r="B164" s="40"/>
      <c r="C164" s="288">
        <f t="shared" si="8"/>
        <v>0</v>
      </c>
      <c r="D164" s="289"/>
      <c r="E164" s="24" t="s">
        <v>97</v>
      </c>
      <c r="F164" s="41" t="s">
        <v>94</v>
      </c>
      <c r="G164" s="288"/>
      <c r="H164" s="289"/>
    </row>
    <row r="165" spans="1:8" ht="20.25" customHeight="1" thickBot="1" x14ac:dyDescent="0.55000000000000004">
      <c r="A165" s="103">
        <f>SUM(A154:A164)</f>
        <v>86846000</v>
      </c>
      <c r="B165" s="104" t="s">
        <v>16</v>
      </c>
      <c r="C165" s="319">
        <f>SUM(C154:C164)</f>
        <v>20276325.32</v>
      </c>
      <c r="D165" s="320"/>
      <c r="E165" s="105"/>
      <c r="F165" s="38"/>
      <c r="G165" s="319">
        <f>SUM(G154:G164)</f>
        <v>10411029.379999999</v>
      </c>
      <c r="H165" s="320"/>
    </row>
    <row r="166" spans="1:8" ht="20.25" customHeight="1" thickTop="1" x14ac:dyDescent="0.5">
      <c r="C166" s="296">
        <f>G166</f>
        <v>0</v>
      </c>
      <c r="D166" s="297"/>
      <c r="E166" s="70" t="s">
        <v>134</v>
      </c>
      <c r="F166" s="38"/>
      <c r="G166" s="296">
        <v>0</v>
      </c>
      <c r="H166" s="297"/>
    </row>
    <row r="167" spans="1:8" ht="20.25" customHeight="1" x14ac:dyDescent="0.5">
      <c r="C167" s="286">
        <f>C117+G167</f>
        <v>5067300</v>
      </c>
      <c r="D167" s="287"/>
      <c r="E167" s="42" t="s">
        <v>136</v>
      </c>
      <c r="F167" s="38"/>
      <c r="G167" s="286">
        <v>1237100</v>
      </c>
      <c r="H167" s="287"/>
    </row>
    <row r="168" spans="1:8" ht="20.25" customHeight="1" x14ac:dyDescent="0.5">
      <c r="C168" s="288">
        <f t="shared" ref="C168:C172" si="9">G168</f>
        <v>0</v>
      </c>
      <c r="D168" s="289"/>
      <c r="E168" s="47" t="s">
        <v>135</v>
      </c>
      <c r="F168" s="38"/>
      <c r="G168" s="288">
        <v>0</v>
      </c>
      <c r="H168" s="289"/>
    </row>
    <row r="169" spans="1:8" ht="20.25" customHeight="1" x14ac:dyDescent="0.5">
      <c r="C169" s="258">
        <f t="shared" si="9"/>
        <v>0</v>
      </c>
      <c r="D169" s="259"/>
      <c r="E169" s="24" t="s">
        <v>12</v>
      </c>
      <c r="F169" s="38"/>
      <c r="G169" s="288">
        <v>0</v>
      </c>
      <c r="H169" s="289"/>
    </row>
    <row r="170" spans="1:8" ht="20.25" customHeight="1" x14ac:dyDescent="0.5">
      <c r="C170" s="258">
        <f t="shared" si="9"/>
        <v>0</v>
      </c>
      <c r="D170" s="259"/>
      <c r="E170" s="24" t="s">
        <v>4</v>
      </c>
      <c r="F170" s="38"/>
      <c r="G170" s="288">
        <v>0</v>
      </c>
      <c r="H170" s="289"/>
    </row>
    <row r="171" spans="1:8" ht="20.25" customHeight="1" x14ac:dyDescent="0.5">
      <c r="C171" s="258">
        <f t="shared" si="9"/>
        <v>0</v>
      </c>
      <c r="D171" s="259"/>
      <c r="E171" s="24" t="s">
        <v>5</v>
      </c>
      <c r="F171" s="38"/>
      <c r="G171" s="288">
        <v>0</v>
      </c>
      <c r="H171" s="289"/>
    </row>
    <row r="172" spans="1:8" ht="20.25" customHeight="1" x14ac:dyDescent="0.5">
      <c r="C172" s="258">
        <f t="shared" si="9"/>
        <v>0</v>
      </c>
      <c r="D172" s="259"/>
      <c r="E172" s="24" t="s">
        <v>8</v>
      </c>
      <c r="F172" s="38"/>
      <c r="G172" s="288">
        <v>0</v>
      </c>
      <c r="H172" s="289"/>
    </row>
    <row r="173" spans="1:8" ht="20.25" customHeight="1" x14ac:dyDescent="0.5">
      <c r="C173" s="288">
        <v>489780</v>
      </c>
      <c r="D173" s="289"/>
      <c r="E173" s="24" t="s">
        <v>7</v>
      </c>
      <c r="F173" s="38"/>
      <c r="G173" s="288">
        <v>0</v>
      </c>
      <c r="H173" s="289"/>
    </row>
    <row r="174" spans="1:8" ht="20.25" customHeight="1" x14ac:dyDescent="0.5">
      <c r="C174" s="288">
        <f>D124</f>
        <v>0</v>
      </c>
      <c r="D174" s="289"/>
      <c r="E174" s="24" t="s">
        <v>6</v>
      </c>
      <c r="F174" s="38"/>
      <c r="G174" s="288">
        <v>0</v>
      </c>
      <c r="H174" s="289"/>
    </row>
    <row r="175" spans="1:8" ht="20.25" customHeight="1" x14ac:dyDescent="0.5">
      <c r="C175" s="286">
        <f>C125+G175</f>
        <v>1457678.55</v>
      </c>
      <c r="D175" s="287"/>
      <c r="E175" s="24" t="s">
        <v>112</v>
      </c>
      <c r="F175" s="38"/>
      <c r="G175" s="288">
        <v>0</v>
      </c>
      <c r="H175" s="289"/>
    </row>
    <row r="176" spans="1:8" ht="20.25" customHeight="1" x14ac:dyDescent="0.5">
      <c r="C176" s="288">
        <f>C126+G176</f>
        <v>0</v>
      </c>
      <c r="D176" s="289"/>
      <c r="E176" s="24" t="s">
        <v>176</v>
      </c>
      <c r="F176" s="38" t="s">
        <v>127</v>
      </c>
      <c r="G176" s="288">
        <v>0</v>
      </c>
      <c r="H176" s="289"/>
    </row>
    <row r="177" spans="1:10" ht="20.25" customHeight="1" x14ac:dyDescent="0.5">
      <c r="C177" s="288">
        <f>C127+G177</f>
        <v>2073939.91</v>
      </c>
      <c r="D177" s="289"/>
      <c r="E177" s="24" t="s">
        <v>37</v>
      </c>
      <c r="F177" s="38" t="s">
        <v>74</v>
      </c>
      <c r="G177" s="288">
        <f>'รายละเอียด(หมายเหตุ2)'!E131</f>
        <v>488169.43</v>
      </c>
      <c r="H177" s="289"/>
    </row>
    <row r="178" spans="1:10" ht="20.25" customHeight="1" x14ac:dyDescent="0.5">
      <c r="C178" s="288">
        <f>C128+G178</f>
        <v>267414</v>
      </c>
      <c r="D178" s="289"/>
      <c r="E178" s="24" t="s">
        <v>34</v>
      </c>
      <c r="F178" s="38" t="s">
        <v>61</v>
      </c>
      <c r="G178" s="288">
        <v>115892</v>
      </c>
      <c r="H178" s="289"/>
    </row>
    <row r="179" spans="1:10" ht="20.25" customHeight="1" x14ac:dyDescent="0.5">
      <c r="C179" s="288">
        <f>C129+G179</f>
        <v>3742560</v>
      </c>
      <c r="D179" s="289"/>
      <c r="E179" s="24" t="s">
        <v>56</v>
      </c>
      <c r="F179" s="38" t="s">
        <v>60</v>
      </c>
      <c r="G179" s="288">
        <v>62220</v>
      </c>
      <c r="H179" s="289"/>
    </row>
    <row r="180" spans="1:10" ht="20.25" customHeight="1" x14ac:dyDescent="0.5">
      <c r="C180" s="288">
        <f>C130</f>
        <v>582914</v>
      </c>
      <c r="D180" s="289"/>
      <c r="E180" s="24" t="s">
        <v>87</v>
      </c>
      <c r="F180" s="38" t="s">
        <v>75</v>
      </c>
      <c r="G180" s="288"/>
      <c r="H180" s="289"/>
    </row>
    <row r="181" spans="1:10" ht="20.25" customHeight="1" x14ac:dyDescent="0.5">
      <c r="C181" s="288">
        <f>C131</f>
        <v>6668</v>
      </c>
      <c r="D181" s="289"/>
      <c r="E181" s="24" t="s">
        <v>92</v>
      </c>
      <c r="F181" s="38" t="s">
        <v>93</v>
      </c>
      <c r="G181" s="288">
        <v>0</v>
      </c>
      <c r="H181" s="289"/>
    </row>
    <row r="182" spans="1:10" ht="20.25" customHeight="1" x14ac:dyDescent="0.5">
      <c r="C182" s="288">
        <f>C132+G182</f>
        <v>266400</v>
      </c>
      <c r="D182" s="289"/>
      <c r="E182" s="24" t="s">
        <v>996</v>
      </c>
      <c r="F182" s="38" t="s">
        <v>146</v>
      </c>
      <c r="G182" s="288">
        <v>266400</v>
      </c>
      <c r="H182" s="289"/>
    </row>
    <row r="183" spans="1:10" ht="20.25" customHeight="1" x14ac:dyDescent="0.5">
      <c r="A183" s="44"/>
      <c r="C183" s="288">
        <f>C133+G183</f>
        <v>943939</v>
      </c>
      <c r="D183" s="289"/>
      <c r="E183" s="24" t="s">
        <v>114</v>
      </c>
      <c r="F183" s="38" t="s">
        <v>145</v>
      </c>
      <c r="G183" s="288">
        <f>474740+41500</f>
        <v>516240</v>
      </c>
      <c r="H183" s="289"/>
    </row>
    <row r="184" spans="1:10" ht="20.25" customHeight="1" x14ac:dyDescent="0.5">
      <c r="C184" s="288">
        <f>C134+G184</f>
        <v>494108.68</v>
      </c>
      <c r="D184" s="289"/>
      <c r="E184" s="24" t="s">
        <v>55</v>
      </c>
      <c r="F184" s="41" t="s">
        <v>73</v>
      </c>
      <c r="G184" s="288">
        <v>0</v>
      </c>
      <c r="H184" s="289"/>
    </row>
    <row r="185" spans="1:10" ht="20.25" customHeight="1" x14ac:dyDescent="0.5">
      <c r="C185" s="292">
        <f>SUM(C167:C184)</f>
        <v>15392702.139999999</v>
      </c>
      <c r="D185" s="293"/>
      <c r="F185" s="43"/>
      <c r="G185" s="292">
        <f>SUM(G166:G184)</f>
        <v>2686021.4299999997</v>
      </c>
      <c r="H185" s="293"/>
    </row>
    <row r="186" spans="1:10" ht="20.25" customHeight="1" thickBot="1" x14ac:dyDescent="0.55000000000000004">
      <c r="C186" s="319">
        <f>C165+C185</f>
        <v>35669027.460000001</v>
      </c>
      <c r="D186" s="320"/>
      <c r="E186" s="106" t="s">
        <v>38</v>
      </c>
      <c r="G186" s="319">
        <f>G165+G185</f>
        <v>13097050.809999999</v>
      </c>
      <c r="H186" s="320"/>
    </row>
    <row r="187" spans="1:10" ht="20.25" customHeight="1" thickTop="1" x14ac:dyDescent="0.5">
      <c r="C187" s="108"/>
      <c r="D187" s="109"/>
      <c r="E187" s="106"/>
      <c r="G187" s="108"/>
      <c r="H187" s="109"/>
    </row>
    <row r="188" spans="1:10" ht="20.25" customHeight="1" x14ac:dyDescent="0.5">
      <c r="C188" s="286">
        <f>'งบรับจ่ายเงินสด  55'!C173:D173-'ใบต่อ  55'!C186:D186</f>
        <v>25218079.789999999</v>
      </c>
      <c r="D188" s="287"/>
      <c r="E188" s="106" t="s">
        <v>39</v>
      </c>
      <c r="G188" s="286"/>
      <c r="H188" s="287"/>
    </row>
    <row r="189" spans="1:10" ht="20.25" customHeight="1" x14ac:dyDescent="0.5">
      <c r="C189" s="288"/>
      <c r="D189" s="289"/>
      <c r="E189" s="106" t="s">
        <v>40</v>
      </c>
      <c r="G189" s="288"/>
      <c r="H189" s="289"/>
    </row>
    <row r="190" spans="1:10" ht="20.25" customHeight="1" x14ac:dyDescent="0.5">
      <c r="C190" s="288"/>
      <c r="D190" s="289"/>
      <c r="E190" s="106" t="s">
        <v>41</v>
      </c>
      <c r="G190" s="286">
        <f>'งบรับจ่ายเงินสด  55'!G173:H173-'ใบต่อ  55'!G186:H186</f>
        <v>-8610313.5</v>
      </c>
      <c r="H190" s="287"/>
    </row>
    <row r="191" spans="1:10" ht="20.25" customHeight="1" thickBot="1" x14ac:dyDescent="0.55000000000000004">
      <c r="C191" s="319">
        <f>'งบรับจ่ายเงินสด  55'!C138:D138+'งบรับจ่ายเงินสด  55'!C173:D173-'ใบต่อ  55'!C186:D186</f>
        <v>78962261.269999981</v>
      </c>
      <c r="D191" s="320"/>
      <c r="E191" s="106" t="s">
        <v>42</v>
      </c>
      <c r="G191" s="319">
        <f>'งบรับจ่ายเงินสด  55'!G138:H138+'งบรับจ่ายเงินสด  55'!G173:H173-'ใบต่อ  55'!G186:H186</f>
        <v>78962261.270000011</v>
      </c>
      <c r="H191" s="320"/>
      <c r="I191" s="44">
        <f>C191-G191</f>
        <v>0</v>
      </c>
      <c r="J191" s="35">
        <f>61528753.1</f>
        <v>61528753.100000001</v>
      </c>
    </row>
    <row r="192" spans="1:10" ht="20.25" customHeight="1" thickTop="1" x14ac:dyDescent="0.5">
      <c r="C192" s="45" t="s">
        <v>179</v>
      </c>
      <c r="D192" s="45"/>
      <c r="E192" s="106"/>
      <c r="G192" s="107"/>
      <c r="H192" s="107"/>
    </row>
    <row r="193" spans="1:10" ht="20.25" customHeight="1" x14ac:dyDescent="0.5">
      <c r="A193" s="35" t="s">
        <v>120</v>
      </c>
      <c r="C193" s="45"/>
      <c r="D193" s="45"/>
      <c r="E193" s="260" t="s">
        <v>120</v>
      </c>
      <c r="F193" s="24" t="s">
        <v>123</v>
      </c>
      <c r="G193" s="107"/>
      <c r="H193" s="107"/>
    </row>
    <row r="194" spans="1:10" ht="20.25" customHeight="1" x14ac:dyDescent="0.5">
      <c r="A194" s="35" t="s">
        <v>121</v>
      </c>
      <c r="C194" s="45"/>
      <c r="D194" s="45"/>
      <c r="E194" s="260" t="s">
        <v>100</v>
      </c>
      <c r="F194" s="318" t="s">
        <v>149</v>
      </c>
      <c r="G194" s="318"/>
      <c r="H194" s="318"/>
      <c r="J194" s="35">
        <f>G191-J191</f>
        <v>17433508.170000009</v>
      </c>
    </row>
    <row r="195" spans="1:10" ht="20.25" customHeight="1" x14ac:dyDescent="0.5">
      <c r="A195" s="35" t="s">
        <v>122</v>
      </c>
      <c r="C195" s="45"/>
      <c r="D195" s="45"/>
      <c r="E195" s="260" t="s">
        <v>101</v>
      </c>
      <c r="F195" s="24" t="s">
        <v>976</v>
      </c>
      <c r="G195" s="107"/>
      <c r="H195" s="107"/>
    </row>
    <row r="198" spans="1:10" ht="20.25" customHeight="1" thickBot="1" x14ac:dyDescent="0.55000000000000004">
      <c r="F198" s="28" t="s">
        <v>1020</v>
      </c>
      <c r="G198" s="28"/>
    </row>
    <row r="199" spans="1:10" ht="20.25" customHeight="1" thickTop="1" x14ac:dyDescent="0.5">
      <c r="A199" s="321" t="s">
        <v>18</v>
      </c>
      <c r="B199" s="322"/>
      <c r="C199" s="322"/>
      <c r="D199" s="323"/>
      <c r="E199" s="100"/>
      <c r="F199" s="321" t="s">
        <v>19</v>
      </c>
      <c r="G199" s="322"/>
      <c r="H199" s="323"/>
    </row>
    <row r="200" spans="1:10" ht="20.25" customHeight="1" x14ac:dyDescent="0.5">
      <c r="A200" s="324" t="s">
        <v>20</v>
      </c>
      <c r="B200" s="325"/>
      <c r="C200" s="324" t="s">
        <v>22</v>
      </c>
      <c r="D200" s="325"/>
      <c r="E200" s="326" t="s">
        <v>0</v>
      </c>
      <c r="F200" s="101" t="s">
        <v>23</v>
      </c>
      <c r="G200" s="324" t="s">
        <v>22</v>
      </c>
      <c r="H200" s="325"/>
    </row>
    <row r="201" spans="1:10" ht="20.25" customHeight="1" thickBot="1" x14ac:dyDescent="0.55000000000000004">
      <c r="A201" s="328" t="s">
        <v>21</v>
      </c>
      <c r="B201" s="329"/>
      <c r="C201" s="328" t="s">
        <v>21</v>
      </c>
      <c r="D201" s="329"/>
      <c r="E201" s="327"/>
      <c r="F201" s="102" t="s">
        <v>24</v>
      </c>
      <c r="G201" s="328" t="s">
        <v>21</v>
      </c>
      <c r="H201" s="329"/>
    </row>
    <row r="202" spans="1:10" ht="20.25" customHeight="1" thickTop="1" x14ac:dyDescent="0.5">
      <c r="A202" s="36"/>
      <c r="B202" s="37"/>
      <c r="C202" s="296"/>
      <c r="D202" s="297"/>
      <c r="E202" s="28" t="s">
        <v>36</v>
      </c>
      <c r="F202" s="38"/>
      <c r="G202" s="296"/>
      <c r="H202" s="297"/>
    </row>
    <row r="203" spans="1:10" ht="20.25" customHeight="1" x14ac:dyDescent="0.5">
      <c r="A203" s="39">
        <v>21297500</v>
      </c>
      <c r="B203" s="40" t="s">
        <v>16</v>
      </c>
      <c r="C203" s="288">
        <f>C154+G203</f>
        <v>1578206</v>
      </c>
      <c r="D203" s="289"/>
      <c r="E203" s="24" t="s">
        <v>12</v>
      </c>
      <c r="F203" s="38" t="s">
        <v>62</v>
      </c>
      <c r="G203" s="288">
        <v>38870</v>
      </c>
      <c r="H203" s="289"/>
    </row>
    <row r="204" spans="1:10" ht="20.25" customHeight="1" x14ac:dyDescent="0.5">
      <c r="A204" s="39">
        <f>756000+480000+247500+1620000+3116486+373200+240000+1600080+299160+42000+809340+58080+42000+3439694+31440+387600+67200+1015440+177840+42000+729900+36000+120000</f>
        <v>15730960</v>
      </c>
      <c r="B204" s="40" t="s">
        <v>16</v>
      </c>
      <c r="C204" s="288">
        <f t="shared" ref="C204:C213" si="10">C155+G204</f>
        <v>4917351</v>
      </c>
      <c r="D204" s="289"/>
      <c r="E204" s="24" t="s">
        <v>4</v>
      </c>
      <c r="F204" s="38" t="s">
        <v>85</v>
      </c>
      <c r="G204" s="288">
        <v>1059855</v>
      </c>
      <c r="H204" s="289"/>
    </row>
    <row r="205" spans="1:10" ht="20.25" customHeight="1" x14ac:dyDescent="0.5">
      <c r="A205" s="39">
        <f>1928880+1092120+996960+594240+1165200+730800+78000+31000+997200+694800+640800+457200</f>
        <v>9407200</v>
      </c>
      <c r="B205" s="40" t="s">
        <v>16</v>
      </c>
      <c r="C205" s="288">
        <f t="shared" si="10"/>
        <v>3170950</v>
      </c>
      <c r="D205" s="289"/>
      <c r="E205" s="24" t="s">
        <v>5</v>
      </c>
      <c r="F205" s="38" t="s">
        <v>86</v>
      </c>
      <c r="G205" s="288">
        <v>629390</v>
      </c>
      <c r="H205" s="289"/>
    </row>
    <row r="206" spans="1:10" ht="20.25" customHeight="1" x14ac:dyDescent="0.5">
      <c r="A206" s="39">
        <f>152000+1430000+400000+60000+30000+50000</f>
        <v>2122000</v>
      </c>
      <c r="B206" s="40" t="s">
        <v>16</v>
      </c>
      <c r="C206" s="288">
        <f t="shared" si="10"/>
        <v>73203.5</v>
      </c>
      <c r="D206" s="289"/>
      <c r="E206" s="24" t="s">
        <v>6</v>
      </c>
      <c r="F206" s="38" t="s">
        <v>64</v>
      </c>
      <c r="G206" s="288">
        <f>14017.5</f>
        <v>14017.5</v>
      </c>
      <c r="H206" s="289"/>
    </row>
    <row r="207" spans="1:10" ht="20.25" customHeight="1" x14ac:dyDescent="0.5">
      <c r="A207" s="39">
        <f>347000+4100000+2453500+3666000+3806600+1328000</f>
        <v>15701100</v>
      </c>
      <c r="B207" s="40" t="s">
        <v>16</v>
      </c>
      <c r="C207" s="288">
        <f t="shared" si="10"/>
        <v>7712387</v>
      </c>
      <c r="D207" s="289"/>
      <c r="E207" s="24" t="s">
        <v>7</v>
      </c>
      <c r="F207" s="38" t="s">
        <v>65</v>
      </c>
      <c r="G207" s="288">
        <f>1561769-18160+7000+4046+7000+4046+3006+18560</f>
        <v>1587267</v>
      </c>
      <c r="H207" s="289"/>
    </row>
    <row r="208" spans="1:10" ht="20.25" customHeight="1" x14ac:dyDescent="0.5">
      <c r="A208" s="39">
        <f>210000+980000+839000+1540000+1276240+280000</f>
        <v>5125240</v>
      </c>
      <c r="B208" s="40" t="s">
        <v>16</v>
      </c>
      <c r="C208" s="288">
        <f t="shared" si="10"/>
        <v>2041397.85</v>
      </c>
      <c r="D208" s="289"/>
      <c r="E208" s="24" t="s">
        <v>8</v>
      </c>
      <c r="F208" s="38" t="s">
        <v>66</v>
      </c>
      <c r="G208" s="288">
        <f>760291.19+18160</f>
        <v>778451.19</v>
      </c>
      <c r="H208" s="289"/>
    </row>
    <row r="209" spans="1:9" ht="20.25" customHeight="1" x14ac:dyDescent="0.5">
      <c r="A209" s="39">
        <v>930000</v>
      </c>
      <c r="B209" s="40" t="s">
        <v>16</v>
      </c>
      <c r="C209" s="288">
        <f t="shared" si="10"/>
        <v>504279.17000000004</v>
      </c>
      <c r="D209" s="289"/>
      <c r="E209" s="24" t="s">
        <v>9</v>
      </c>
      <c r="F209" s="38" t="s">
        <v>67</v>
      </c>
      <c r="G209" s="288">
        <v>84535.21</v>
      </c>
      <c r="H209" s="289"/>
    </row>
    <row r="210" spans="1:9" ht="20.25" customHeight="1" x14ac:dyDescent="0.5">
      <c r="A210" s="39">
        <f>1048000+942000</f>
        <v>1990000</v>
      </c>
      <c r="B210" s="40"/>
      <c r="C210" s="288">
        <f t="shared" si="10"/>
        <v>1332536.7</v>
      </c>
      <c r="D210" s="289"/>
      <c r="E210" s="24" t="s">
        <v>13</v>
      </c>
      <c r="F210" s="38" t="s">
        <v>68</v>
      </c>
      <c r="G210" s="288">
        <v>30000</v>
      </c>
      <c r="H210" s="289"/>
    </row>
    <row r="211" spans="1:9" ht="20.25" customHeight="1" x14ac:dyDescent="0.5">
      <c r="A211" s="39">
        <f>140000+118000+799400+3243800+137000+912800</f>
        <v>5351000</v>
      </c>
      <c r="B211" s="40" t="s">
        <v>16</v>
      </c>
      <c r="C211" s="288">
        <f t="shared" si="10"/>
        <v>2876600</v>
      </c>
      <c r="D211" s="289"/>
      <c r="E211" s="24" t="s">
        <v>10</v>
      </c>
      <c r="F211" s="38" t="s">
        <v>69</v>
      </c>
      <c r="G211" s="288">
        <v>199000</v>
      </c>
      <c r="H211" s="289"/>
    </row>
    <row r="212" spans="1:9" ht="20.25" customHeight="1" x14ac:dyDescent="0.5">
      <c r="A212" s="13">
        <f>310000+8231000+650000</f>
        <v>9191000</v>
      </c>
      <c r="B212" s="40"/>
      <c r="C212" s="288">
        <f t="shared" si="10"/>
        <v>690800</v>
      </c>
      <c r="D212" s="289"/>
      <c r="E212" s="24" t="s">
        <v>96</v>
      </c>
      <c r="F212" s="38" t="s">
        <v>70</v>
      </c>
      <c r="G212" s="288">
        <v>200000</v>
      </c>
      <c r="H212" s="289"/>
    </row>
    <row r="213" spans="1:9" ht="20.25" customHeight="1" x14ac:dyDescent="0.5">
      <c r="A213" s="13"/>
      <c r="B213" s="40"/>
      <c r="C213" s="288">
        <f t="shared" si="10"/>
        <v>0</v>
      </c>
      <c r="D213" s="289"/>
      <c r="E213" s="24" t="s">
        <v>97</v>
      </c>
      <c r="F213" s="41" t="s">
        <v>94</v>
      </c>
      <c r="G213" s="288"/>
      <c r="H213" s="289"/>
    </row>
    <row r="214" spans="1:9" ht="20.25" customHeight="1" thickBot="1" x14ac:dyDescent="0.55000000000000004">
      <c r="A214" s="103">
        <f>SUM(A203:A213)</f>
        <v>86846000</v>
      </c>
      <c r="B214" s="104" t="s">
        <v>16</v>
      </c>
      <c r="C214" s="319">
        <f>SUM(C203:C213)</f>
        <v>24897711.220000003</v>
      </c>
      <c r="D214" s="320"/>
      <c r="E214" s="105"/>
      <c r="F214" s="38"/>
      <c r="G214" s="319">
        <f>SUM(G203:G213)</f>
        <v>4621385.9000000004</v>
      </c>
      <c r="H214" s="320"/>
    </row>
    <row r="215" spans="1:9" ht="20.25" customHeight="1" thickTop="1" x14ac:dyDescent="0.5">
      <c r="C215" s="296">
        <f>G215</f>
        <v>0</v>
      </c>
      <c r="D215" s="297"/>
      <c r="E215" s="70" t="s">
        <v>134</v>
      </c>
      <c r="F215" s="38"/>
      <c r="G215" s="296">
        <v>0</v>
      </c>
      <c r="H215" s="297"/>
    </row>
    <row r="216" spans="1:9" ht="20.25" customHeight="1" x14ac:dyDescent="0.5">
      <c r="C216" s="286">
        <f>C167+G216</f>
        <v>6180500</v>
      </c>
      <c r="D216" s="287"/>
      <c r="E216" s="42" t="s">
        <v>136</v>
      </c>
      <c r="F216" s="38"/>
      <c r="G216" s="286">
        <v>1113200</v>
      </c>
      <c r="H216" s="287"/>
    </row>
    <row r="217" spans="1:9" ht="20.25" customHeight="1" x14ac:dyDescent="0.5">
      <c r="C217" s="288">
        <f t="shared" ref="C217:C221" si="11">G217</f>
        <v>0</v>
      </c>
      <c r="D217" s="289"/>
      <c r="E217" s="47" t="s">
        <v>135</v>
      </c>
      <c r="F217" s="38"/>
      <c r="G217" s="288">
        <v>0</v>
      </c>
      <c r="H217" s="289"/>
      <c r="I217" s="44">
        <f>C215+D217</f>
        <v>0</v>
      </c>
    </row>
    <row r="218" spans="1:9" ht="20.25" customHeight="1" x14ac:dyDescent="0.5">
      <c r="C218" s="258">
        <f t="shared" si="11"/>
        <v>3060</v>
      </c>
      <c r="D218" s="259">
        <f>SUM(C218)</f>
        <v>3060</v>
      </c>
      <c r="E218" s="24" t="s">
        <v>12</v>
      </c>
      <c r="F218" s="38"/>
      <c r="G218" s="288">
        <v>3060</v>
      </c>
      <c r="H218" s="289"/>
    </row>
    <row r="219" spans="1:9" ht="20.25" customHeight="1" x14ac:dyDescent="0.5">
      <c r="C219" s="258">
        <f t="shared" si="11"/>
        <v>75000</v>
      </c>
      <c r="D219" s="259">
        <f>SUM(C219)</f>
        <v>75000</v>
      </c>
      <c r="E219" s="24" t="s">
        <v>4</v>
      </c>
      <c r="F219" s="38"/>
      <c r="G219" s="288">
        <f>15000*5</f>
        <v>75000</v>
      </c>
      <c r="H219" s="289"/>
    </row>
    <row r="220" spans="1:9" ht="20.25" customHeight="1" x14ac:dyDescent="0.5">
      <c r="C220" s="258">
        <f t="shared" si="11"/>
        <v>90000</v>
      </c>
      <c r="D220" s="259">
        <f>SUM(C220)</f>
        <v>90000</v>
      </c>
      <c r="E220" s="24" t="s">
        <v>5</v>
      </c>
      <c r="F220" s="38"/>
      <c r="G220" s="288">
        <f>18000*5</f>
        <v>90000</v>
      </c>
      <c r="H220" s="289"/>
    </row>
    <row r="221" spans="1:9" ht="20.25" customHeight="1" x14ac:dyDescent="0.5">
      <c r="C221" s="258">
        <f t="shared" si="11"/>
        <v>0</v>
      </c>
      <c r="D221" s="259">
        <f>SUM(C221)</f>
        <v>0</v>
      </c>
      <c r="E221" s="24" t="s">
        <v>8</v>
      </c>
      <c r="F221" s="38"/>
      <c r="G221" s="288">
        <v>0</v>
      </c>
      <c r="H221" s="289"/>
    </row>
    <row r="222" spans="1:9" ht="20.25" customHeight="1" x14ac:dyDescent="0.5">
      <c r="C222" s="288">
        <v>489780</v>
      </c>
      <c r="D222" s="289"/>
      <c r="E222" s="24" t="s">
        <v>7</v>
      </c>
      <c r="F222" s="38"/>
      <c r="G222" s="288">
        <v>0</v>
      </c>
      <c r="H222" s="289"/>
    </row>
    <row r="223" spans="1:9" ht="20.25" customHeight="1" x14ac:dyDescent="0.5">
      <c r="C223" s="288">
        <f>D173</f>
        <v>0</v>
      </c>
      <c r="D223" s="289"/>
      <c r="E223" s="24" t="s">
        <v>6</v>
      </c>
      <c r="F223" s="38"/>
      <c r="G223" s="288">
        <v>0</v>
      </c>
      <c r="H223" s="289"/>
    </row>
    <row r="224" spans="1:9" ht="20.25" customHeight="1" x14ac:dyDescent="0.5">
      <c r="C224" s="286">
        <f>C175</f>
        <v>1457678.55</v>
      </c>
      <c r="D224" s="287"/>
      <c r="E224" s="24" t="s">
        <v>112</v>
      </c>
      <c r="F224" s="38"/>
      <c r="G224" s="288">
        <v>0</v>
      </c>
      <c r="H224" s="289"/>
    </row>
    <row r="225" spans="1:8" ht="20.25" customHeight="1" x14ac:dyDescent="0.5">
      <c r="C225" s="288">
        <v>0</v>
      </c>
      <c r="D225" s="289"/>
      <c r="E225" s="24" t="s">
        <v>176</v>
      </c>
      <c r="F225" s="38" t="s">
        <v>127</v>
      </c>
      <c r="G225" s="288">
        <v>0</v>
      </c>
      <c r="H225" s="289"/>
    </row>
    <row r="226" spans="1:8" ht="20.25" customHeight="1" x14ac:dyDescent="0.5">
      <c r="C226" s="288">
        <f>C177+G226</f>
        <v>3116036.9</v>
      </c>
      <c r="D226" s="289"/>
      <c r="E226" s="24" t="s">
        <v>37</v>
      </c>
      <c r="F226" s="38" t="s">
        <v>74</v>
      </c>
      <c r="G226" s="288">
        <f>'รายละเอียด(หมายเหตุ2)'!E168</f>
        <v>1042096.99</v>
      </c>
      <c r="H226" s="289"/>
    </row>
    <row r="227" spans="1:8" ht="20.25" customHeight="1" x14ac:dyDescent="0.5">
      <c r="C227" s="288">
        <f>C178+G227</f>
        <v>277866</v>
      </c>
      <c r="D227" s="289"/>
      <c r="E227" s="24" t="s">
        <v>34</v>
      </c>
      <c r="F227" s="38" t="s">
        <v>61</v>
      </c>
      <c r="G227" s="288">
        <f>11667-1215</f>
        <v>10452</v>
      </c>
      <c r="H227" s="289"/>
    </row>
    <row r="228" spans="1:8" ht="20.25" customHeight="1" x14ac:dyDescent="0.5">
      <c r="C228" s="288">
        <f t="shared" ref="C228:C232" si="12">C179+G228</f>
        <v>3971625</v>
      </c>
      <c r="D228" s="289"/>
      <c r="E228" s="24" t="s">
        <v>56</v>
      </c>
      <c r="F228" s="38" t="s">
        <v>60</v>
      </c>
      <c r="G228" s="288">
        <f>227850+1215</f>
        <v>229065</v>
      </c>
      <c r="H228" s="289"/>
    </row>
    <row r="229" spans="1:8" ht="20.25" customHeight="1" x14ac:dyDescent="0.5">
      <c r="C229" s="288">
        <f t="shared" si="12"/>
        <v>582914</v>
      </c>
      <c r="D229" s="289"/>
      <c r="E229" s="24" t="s">
        <v>87</v>
      </c>
      <c r="F229" s="38" t="s">
        <v>75</v>
      </c>
      <c r="G229" s="288"/>
      <c r="H229" s="289"/>
    </row>
    <row r="230" spans="1:8" ht="20.25" customHeight="1" x14ac:dyDescent="0.5">
      <c r="C230" s="288">
        <f t="shared" si="12"/>
        <v>6668</v>
      </c>
      <c r="D230" s="289"/>
      <c r="E230" s="24" t="s">
        <v>92</v>
      </c>
      <c r="F230" s="38" t="s">
        <v>93</v>
      </c>
      <c r="G230" s="288">
        <v>0</v>
      </c>
      <c r="H230" s="289"/>
    </row>
    <row r="231" spans="1:8" ht="20.25" customHeight="1" x14ac:dyDescent="0.5">
      <c r="C231" s="288">
        <f t="shared" si="12"/>
        <v>266400</v>
      </c>
      <c r="D231" s="289"/>
      <c r="E231" s="24" t="s">
        <v>996</v>
      </c>
      <c r="F231" s="38" t="s">
        <v>146</v>
      </c>
      <c r="G231" s="288">
        <v>0</v>
      </c>
      <c r="H231" s="289"/>
    </row>
    <row r="232" spans="1:8" ht="20.25" customHeight="1" x14ac:dyDescent="0.5">
      <c r="A232" s="44"/>
      <c r="C232" s="288">
        <f t="shared" si="12"/>
        <v>943939</v>
      </c>
      <c r="D232" s="289"/>
      <c r="E232" s="24" t="s">
        <v>114</v>
      </c>
      <c r="F232" s="38" t="s">
        <v>145</v>
      </c>
      <c r="G232" s="288">
        <v>0</v>
      </c>
      <c r="H232" s="289"/>
    </row>
    <row r="233" spans="1:8" ht="20.25" customHeight="1" x14ac:dyDescent="0.5">
      <c r="A233" s="44"/>
      <c r="B233" s="253"/>
      <c r="C233" s="330">
        <f>G233</f>
        <v>8.14</v>
      </c>
      <c r="D233" s="331"/>
      <c r="E233" s="24" t="s">
        <v>999</v>
      </c>
      <c r="F233" s="38" t="s">
        <v>1000</v>
      </c>
      <c r="G233" s="288">
        <v>8.14</v>
      </c>
      <c r="H233" s="289"/>
    </row>
    <row r="234" spans="1:8" ht="20.25" customHeight="1" x14ac:dyDescent="0.5">
      <c r="C234" s="288">
        <f>C184+G234</f>
        <v>694108.67999999993</v>
      </c>
      <c r="D234" s="289"/>
      <c r="E234" s="24" t="s">
        <v>55</v>
      </c>
      <c r="F234" s="41" t="s">
        <v>73</v>
      </c>
      <c r="G234" s="288">
        <v>200000</v>
      </c>
      <c r="H234" s="289"/>
    </row>
    <row r="235" spans="1:8" ht="20.25" customHeight="1" x14ac:dyDescent="0.5">
      <c r="C235" s="292">
        <f>SUM(C216:C234)</f>
        <v>18155584.27</v>
      </c>
      <c r="D235" s="293"/>
      <c r="F235" s="43"/>
      <c r="G235" s="292">
        <f>SUM(G215:G234)</f>
        <v>2762882.1300000004</v>
      </c>
      <c r="H235" s="293"/>
    </row>
    <row r="236" spans="1:8" ht="20.25" customHeight="1" thickBot="1" x14ac:dyDescent="0.55000000000000004">
      <c r="C236" s="319">
        <f>C214+C235</f>
        <v>43053295.490000002</v>
      </c>
      <c r="D236" s="320"/>
      <c r="E236" s="106" t="s">
        <v>38</v>
      </c>
      <c r="G236" s="319">
        <f>G214+G235</f>
        <v>7384268.0300000012</v>
      </c>
      <c r="H236" s="320"/>
    </row>
    <row r="237" spans="1:8" ht="20.25" customHeight="1" thickTop="1" x14ac:dyDescent="0.5">
      <c r="C237" s="108"/>
      <c r="D237" s="109"/>
      <c r="E237" s="106"/>
      <c r="G237" s="108"/>
      <c r="H237" s="109"/>
    </row>
    <row r="238" spans="1:8" ht="20.25" customHeight="1" x14ac:dyDescent="0.5">
      <c r="C238" s="286">
        <f>'งบรับจ่ายเงินสด  55'!C217:D217-'ใบต่อ  55'!C236:D236</f>
        <v>29678403.469999991</v>
      </c>
      <c r="D238" s="287"/>
      <c r="E238" s="106" t="s">
        <v>39</v>
      </c>
      <c r="G238" s="286">
        <f>'งบรับจ่ายเงินสด  55'!G217:H217-'ใบต่อ  55'!G236:H236</f>
        <v>4460323.6799999978</v>
      </c>
      <c r="H238" s="287"/>
    </row>
    <row r="239" spans="1:8" ht="20.25" customHeight="1" x14ac:dyDescent="0.5">
      <c r="C239" s="288"/>
      <c r="D239" s="289"/>
      <c r="E239" s="106" t="s">
        <v>40</v>
      </c>
      <c r="G239" s="288"/>
      <c r="H239" s="289"/>
    </row>
    <row r="240" spans="1:8" ht="20.25" customHeight="1" x14ac:dyDescent="0.5">
      <c r="C240" s="288"/>
      <c r="D240" s="289"/>
      <c r="E240" s="106" t="s">
        <v>41</v>
      </c>
      <c r="G240" s="286"/>
      <c r="H240" s="287"/>
    </row>
    <row r="241" spans="1:10" ht="20.25" customHeight="1" thickBot="1" x14ac:dyDescent="0.55000000000000004">
      <c r="C241" s="319">
        <f>'งบรับจ่ายเงินสด  55'!C182:D182+'งบรับจ่ายเงินสด  55'!C217:D217-'ใบต่อ  55'!C236:D236</f>
        <v>83422584.949999988</v>
      </c>
      <c r="D241" s="320"/>
      <c r="E241" s="106" t="s">
        <v>42</v>
      </c>
      <c r="G241" s="319">
        <f>'งบรับจ่ายเงินสด  55'!G182:H182+'งบรับจ่ายเงินสด  55'!G217:H217-'ใบต่อ  55'!G236:H236</f>
        <v>83422584.950000003</v>
      </c>
      <c r="H241" s="320"/>
      <c r="I241" s="92">
        <f>C241-G241</f>
        <v>0</v>
      </c>
    </row>
    <row r="242" spans="1:10" ht="20.25" customHeight="1" thickTop="1" x14ac:dyDescent="0.5">
      <c r="C242" s="45" t="s">
        <v>179</v>
      </c>
      <c r="D242" s="45"/>
      <c r="E242" s="106"/>
      <c r="G242" s="107"/>
      <c r="H242" s="107"/>
      <c r="J242" s="35">
        <f>G242-I242</f>
        <v>0</v>
      </c>
    </row>
    <row r="243" spans="1:10" ht="20.25" customHeight="1" x14ac:dyDescent="0.5">
      <c r="A243" s="35" t="s">
        <v>120</v>
      </c>
      <c r="C243" s="45"/>
      <c r="D243" s="45"/>
      <c r="E243" s="260" t="s">
        <v>120</v>
      </c>
      <c r="F243" s="24" t="s">
        <v>123</v>
      </c>
      <c r="G243" s="107"/>
      <c r="H243" s="107"/>
      <c r="I243" s="92">
        <f>G242-I241</f>
        <v>0</v>
      </c>
    </row>
    <row r="244" spans="1:10" ht="20.25" customHeight="1" x14ac:dyDescent="0.5">
      <c r="A244" s="35" t="s">
        <v>121</v>
      </c>
      <c r="C244" s="45"/>
      <c r="D244" s="45"/>
      <c r="E244" s="260" t="s">
        <v>100</v>
      </c>
      <c r="F244" s="318" t="s">
        <v>149</v>
      </c>
      <c r="G244" s="318"/>
      <c r="H244" s="318"/>
      <c r="J244" s="35">
        <f>512840-513396.08</f>
        <v>-556.0800000000163</v>
      </c>
    </row>
    <row r="245" spans="1:10" ht="20.25" customHeight="1" x14ac:dyDescent="0.5">
      <c r="A245" s="35" t="s">
        <v>122</v>
      </c>
      <c r="C245" s="45"/>
      <c r="D245" s="45"/>
      <c r="E245" s="260" t="s">
        <v>101</v>
      </c>
      <c r="F245" s="24" t="s">
        <v>976</v>
      </c>
      <c r="G245" s="107"/>
      <c r="H245" s="107"/>
    </row>
  </sheetData>
  <mergeCells count="414">
    <mergeCell ref="F244:H244"/>
    <mergeCell ref="G233:H233"/>
    <mergeCell ref="C233:D233"/>
    <mergeCell ref="C236:D236"/>
    <mergeCell ref="G236:H236"/>
    <mergeCell ref="C239:D239"/>
    <mergeCell ref="G239:H239"/>
    <mergeCell ref="C240:D240"/>
    <mergeCell ref="G240:H240"/>
    <mergeCell ref="C241:D241"/>
    <mergeCell ref="G241:H241"/>
    <mergeCell ref="C235:D235"/>
    <mergeCell ref="G235:H235"/>
    <mergeCell ref="C238:D238"/>
    <mergeCell ref="G238:H238"/>
    <mergeCell ref="G219:H219"/>
    <mergeCell ref="G220:H220"/>
    <mergeCell ref="G221:H221"/>
    <mergeCell ref="C222:D222"/>
    <mergeCell ref="G222:H222"/>
    <mergeCell ref="C223:D223"/>
    <mergeCell ref="G223:H223"/>
    <mergeCell ref="C224:D224"/>
    <mergeCell ref="G224:H224"/>
    <mergeCell ref="C229:D229"/>
    <mergeCell ref="G229:H229"/>
    <mergeCell ref="J159:K159"/>
    <mergeCell ref="C230:D230"/>
    <mergeCell ref="G230:H230"/>
    <mergeCell ref="C232:D232"/>
    <mergeCell ref="G232:H232"/>
    <mergeCell ref="C234:D234"/>
    <mergeCell ref="G234:H234"/>
    <mergeCell ref="A199:D199"/>
    <mergeCell ref="F199:H199"/>
    <mergeCell ref="E200:E201"/>
    <mergeCell ref="A201:B201"/>
    <mergeCell ref="C206:D206"/>
    <mergeCell ref="G206:H206"/>
    <mergeCell ref="C207:D207"/>
    <mergeCell ref="G207:H207"/>
    <mergeCell ref="A200:B200"/>
    <mergeCell ref="C200:D200"/>
    <mergeCell ref="G200:H200"/>
    <mergeCell ref="C201:D201"/>
    <mergeCell ref="G201:H201"/>
    <mergeCell ref="C202:D202"/>
    <mergeCell ref="G202:H202"/>
    <mergeCell ref="G231:H231"/>
    <mergeCell ref="C231:D231"/>
    <mergeCell ref="C208:D208"/>
    <mergeCell ref="G208:H208"/>
    <mergeCell ref="C209:D209"/>
    <mergeCell ref="G209:H209"/>
    <mergeCell ref="C210:D210"/>
    <mergeCell ref="G210:H210"/>
    <mergeCell ref="C211:D211"/>
    <mergeCell ref="G211:H211"/>
    <mergeCell ref="C212:D212"/>
    <mergeCell ref="G212:H212"/>
    <mergeCell ref="C213:D213"/>
    <mergeCell ref="G213:H213"/>
    <mergeCell ref="C214:D214"/>
    <mergeCell ref="G214:H214"/>
    <mergeCell ref="C215:D215"/>
    <mergeCell ref="G215:H215"/>
    <mergeCell ref="C216:D216"/>
    <mergeCell ref="G216:H216"/>
    <mergeCell ref="G228:H228"/>
    <mergeCell ref="C228:D228"/>
    <mergeCell ref="G217:H217"/>
    <mergeCell ref="G218:H218"/>
    <mergeCell ref="C217:D217"/>
    <mergeCell ref="C225:D225"/>
    <mergeCell ref="G225:H225"/>
    <mergeCell ref="C226:D226"/>
    <mergeCell ref="G226:H226"/>
    <mergeCell ref="C227:D227"/>
    <mergeCell ref="G227:H227"/>
    <mergeCell ref="C204:D204"/>
    <mergeCell ref="G204:H204"/>
    <mergeCell ref="C205:D205"/>
    <mergeCell ref="G205:H205"/>
    <mergeCell ref="C38:D38"/>
    <mergeCell ref="G38:H38"/>
    <mergeCell ref="C39:D39"/>
    <mergeCell ref="G39:H39"/>
    <mergeCell ref="C62:D62"/>
    <mergeCell ref="G62:H62"/>
    <mergeCell ref="C57:D57"/>
    <mergeCell ref="G57:H57"/>
    <mergeCell ref="C58:D58"/>
    <mergeCell ref="G58:H58"/>
    <mergeCell ref="C59:D59"/>
    <mergeCell ref="G59:H59"/>
    <mergeCell ref="C54:D54"/>
    <mergeCell ref="G54:H54"/>
    <mergeCell ref="C55:D55"/>
    <mergeCell ref="G55:H55"/>
    <mergeCell ref="C56:D56"/>
    <mergeCell ref="G56:H56"/>
    <mergeCell ref="A51:D51"/>
    <mergeCell ref="F51:H51"/>
    <mergeCell ref="C16:D16"/>
    <mergeCell ref="G16:H16"/>
    <mergeCell ref="G24:H24"/>
    <mergeCell ref="G25:H25"/>
    <mergeCell ref="G26:H26"/>
    <mergeCell ref="G27:H27"/>
    <mergeCell ref="G29:H29"/>
    <mergeCell ref="C30:D30"/>
    <mergeCell ref="C203:D203"/>
    <mergeCell ref="G203:H203"/>
    <mergeCell ref="C52:D52"/>
    <mergeCell ref="E52:E53"/>
    <mergeCell ref="G52:H52"/>
    <mergeCell ref="C70:D70"/>
    <mergeCell ref="G70:H70"/>
    <mergeCell ref="G71:H71"/>
    <mergeCell ref="C66:D66"/>
    <mergeCell ref="G66:H66"/>
    <mergeCell ref="C67:D67"/>
    <mergeCell ref="G67:H67"/>
    <mergeCell ref="C68:D68"/>
    <mergeCell ref="G68:H68"/>
    <mergeCell ref="G63:H63"/>
    <mergeCell ref="C64:D64"/>
    <mergeCell ref="A53:B53"/>
    <mergeCell ref="C53:D53"/>
    <mergeCell ref="G23:H23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G22:H22"/>
    <mergeCell ref="G53:H53"/>
    <mergeCell ref="G33:H33"/>
    <mergeCell ref="C37:D37"/>
    <mergeCell ref="G37:H37"/>
    <mergeCell ref="C35:D35"/>
    <mergeCell ref="G35:H35"/>
    <mergeCell ref="C33:D33"/>
    <mergeCell ref="A52:B52"/>
    <mergeCell ref="G10:H10"/>
    <mergeCell ref="C43:D43"/>
    <mergeCell ref="G31:H31"/>
    <mergeCell ref="C32:D32"/>
    <mergeCell ref="G32:H32"/>
    <mergeCell ref="G43:H43"/>
    <mergeCell ref="C44:D44"/>
    <mergeCell ref="G44:H44"/>
    <mergeCell ref="C34:D34"/>
    <mergeCell ref="G34:H34"/>
    <mergeCell ref="C36:D36"/>
    <mergeCell ref="G36:H36"/>
    <mergeCell ref="C31:D31"/>
    <mergeCell ref="C40:D40"/>
    <mergeCell ref="G40:H40"/>
    <mergeCell ref="C41:D41"/>
    <mergeCell ref="G41:H41"/>
    <mergeCell ref="C42:D42"/>
    <mergeCell ref="G42:H42"/>
    <mergeCell ref="C14:D14"/>
    <mergeCell ref="G30:H30"/>
    <mergeCell ref="G14:H14"/>
    <mergeCell ref="C15:D15"/>
    <mergeCell ref="G15:H15"/>
    <mergeCell ref="A2:D2"/>
    <mergeCell ref="F2:H2"/>
    <mergeCell ref="A3:B3"/>
    <mergeCell ref="C3:D3"/>
    <mergeCell ref="E3:E4"/>
    <mergeCell ref="G3:H3"/>
    <mergeCell ref="A4:B4"/>
    <mergeCell ref="C4:D4"/>
    <mergeCell ref="G4:H4"/>
    <mergeCell ref="C5:D5"/>
    <mergeCell ref="G5:H5"/>
    <mergeCell ref="C6:D6"/>
    <mergeCell ref="G6:H6"/>
    <mergeCell ref="C7:D7"/>
    <mergeCell ref="G7:H7"/>
    <mergeCell ref="C60:D60"/>
    <mergeCell ref="G60:H60"/>
    <mergeCell ref="C61:D61"/>
    <mergeCell ref="G61:H61"/>
    <mergeCell ref="F47:H47"/>
    <mergeCell ref="F48:H48"/>
    <mergeCell ref="F49:H49"/>
    <mergeCell ref="C11:D11"/>
    <mergeCell ref="G11:H11"/>
    <mergeCell ref="C12:D12"/>
    <mergeCell ref="G12:H12"/>
    <mergeCell ref="C13:D13"/>
    <mergeCell ref="G13:H13"/>
    <mergeCell ref="C8:D8"/>
    <mergeCell ref="G8:H8"/>
    <mergeCell ref="C9:D9"/>
    <mergeCell ref="G9:H9"/>
    <mergeCell ref="C10:D10"/>
    <mergeCell ref="G64:H64"/>
    <mergeCell ref="C65:D65"/>
    <mergeCell ref="G65:H65"/>
    <mergeCell ref="G86:H86"/>
    <mergeCell ref="C81:D81"/>
    <mergeCell ref="G81:H81"/>
    <mergeCell ref="C82:D82"/>
    <mergeCell ref="G82:H82"/>
    <mergeCell ref="C83:D83"/>
    <mergeCell ref="G83:H83"/>
    <mergeCell ref="G78:H78"/>
    <mergeCell ref="C79:D79"/>
    <mergeCell ref="G79:H79"/>
    <mergeCell ref="C80:D80"/>
    <mergeCell ref="G80:H80"/>
    <mergeCell ref="G72:H72"/>
    <mergeCell ref="G73:H73"/>
    <mergeCell ref="G74:H74"/>
    <mergeCell ref="G75:H75"/>
    <mergeCell ref="G76:H76"/>
    <mergeCell ref="C69:D69"/>
    <mergeCell ref="G69:H69"/>
    <mergeCell ref="A100:D100"/>
    <mergeCell ref="F100:H100"/>
    <mergeCell ref="A101:B101"/>
    <mergeCell ref="C101:D101"/>
    <mergeCell ref="E101:E102"/>
    <mergeCell ref="G101:H101"/>
    <mergeCell ref="A102:B102"/>
    <mergeCell ref="C102:D102"/>
    <mergeCell ref="G102:H102"/>
    <mergeCell ref="F96:H96"/>
    <mergeCell ref="C78:D78"/>
    <mergeCell ref="C28:D28"/>
    <mergeCell ref="G28:H28"/>
    <mergeCell ref="C77:D77"/>
    <mergeCell ref="G77:H77"/>
    <mergeCell ref="C91:D91"/>
    <mergeCell ref="G91:H91"/>
    <mergeCell ref="C92:D92"/>
    <mergeCell ref="G92:H92"/>
    <mergeCell ref="C93:D93"/>
    <mergeCell ref="G93:H93"/>
    <mergeCell ref="C87:D87"/>
    <mergeCell ref="G87:H87"/>
    <mergeCell ref="C88:D88"/>
    <mergeCell ref="G88:H88"/>
    <mergeCell ref="C90:D90"/>
    <mergeCell ref="G90:H90"/>
    <mergeCell ref="C84:D84"/>
    <mergeCell ref="G84:H84"/>
    <mergeCell ref="C85:D85"/>
    <mergeCell ref="G85:H85"/>
    <mergeCell ref="C86:D86"/>
    <mergeCell ref="C63:D63"/>
    <mergeCell ref="C108:D108"/>
    <mergeCell ref="G108:H108"/>
    <mergeCell ref="C109:D109"/>
    <mergeCell ref="G109:H109"/>
    <mergeCell ref="C110:D110"/>
    <mergeCell ref="G110:H110"/>
    <mergeCell ref="C111:D111"/>
    <mergeCell ref="G111:H111"/>
    <mergeCell ref="C112:D112"/>
    <mergeCell ref="G112:H112"/>
    <mergeCell ref="C103:D103"/>
    <mergeCell ref="G103:H103"/>
    <mergeCell ref="C104:D104"/>
    <mergeCell ref="G104:H104"/>
    <mergeCell ref="C105:D105"/>
    <mergeCell ref="G105:H105"/>
    <mergeCell ref="C106:D106"/>
    <mergeCell ref="G106:H106"/>
    <mergeCell ref="C107:D107"/>
    <mergeCell ref="G107:H107"/>
    <mergeCell ref="G124:H124"/>
    <mergeCell ref="C125:D125"/>
    <mergeCell ref="G125:H125"/>
    <mergeCell ref="C126:D126"/>
    <mergeCell ref="G126:H126"/>
    <mergeCell ref="C127:D127"/>
    <mergeCell ref="G127:H127"/>
    <mergeCell ref="C128:D128"/>
    <mergeCell ref="G128:H128"/>
    <mergeCell ref="C118:D118"/>
    <mergeCell ref="G118:H118"/>
    <mergeCell ref="G119:H119"/>
    <mergeCell ref="G120:H120"/>
    <mergeCell ref="G121:H121"/>
    <mergeCell ref="G122:H122"/>
    <mergeCell ref="G123:H123"/>
    <mergeCell ref="C113:D113"/>
    <mergeCell ref="G113:H113"/>
    <mergeCell ref="C114:D114"/>
    <mergeCell ref="G114:H114"/>
    <mergeCell ref="C115:D115"/>
    <mergeCell ref="G115:H115"/>
    <mergeCell ref="C116:D116"/>
    <mergeCell ref="G116:H116"/>
    <mergeCell ref="C117:D117"/>
    <mergeCell ref="G117:H117"/>
    <mergeCell ref="C140:D140"/>
    <mergeCell ref="G140:H140"/>
    <mergeCell ref="C141:D141"/>
    <mergeCell ref="G141:H141"/>
    <mergeCell ref="F144:H144"/>
    <mergeCell ref="C134:D134"/>
    <mergeCell ref="G134:H134"/>
    <mergeCell ref="C135:D135"/>
    <mergeCell ref="G135:H135"/>
    <mergeCell ref="C136:D136"/>
    <mergeCell ref="G136:H136"/>
    <mergeCell ref="C138:D138"/>
    <mergeCell ref="G138:H138"/>
    <mergeCell ref="C139:D139"/>
    <mergeCell ref="G139:H139"/>
    <mergeCell ref="C129:D129"/>
    <mergeCell ref="G129:H129"/>
    <mergeCell ref="C130:D130"/>
    <mergeCell ref="G130:H130"/>
    <mergeCell ref="C131:D131"/>
    <mergeCell ref="G131:H131"/>
    <mergeCell ref="C132:D132"/>
    <mergeCell ref="G132:H132"/>
    <mergeCell ref="C133:D133"/>
    <mergeCell ref="G133:H133"/>
    <mergeCell ref="C166:D166"/>
    <mergeCell ref="G166:H166"/>
    <mergeCell ref="C167:D167"/>
    <mergeCell ref="G167:H167"/>
    <mergeCell ref="A150:D150"/>
    <mergeCell ref="F150:H150"/>
    <mergeCell ref="A151:B151"/>
    <mergeCell ref="C151:D151"/>
    <mergeCell ref="E151:E152"/>
    <mergeCell ref="G151:H151"/>
    <mergeCell ref="A152:B152"/>
    <mergeCell ref="C152:D152"/>
    <mergeCell ref="G152:H152"/>
    <mergeCell ref="C153:D153"/>
    <mergeCell ref="G153:H153"/>
    <mergeCell ref="C154:D154"/>
    <mergeCell ref="G154:H154"/>
    <mergeCell ref="C155:D155"/>
    <mergeCell ref="G155:H155"/>
    <mergeCell ref="C156:D156"/>
    <mergeCell ref="G156:H156"/>
    <mergeCell ref="C157:D157"/>
    <mergeCell ref="G157:H157"/>
    <mergeCell ref="C177:D177"/>
    <mergeCell ref="G177:H177"/>
    <mergeCell ref="C178:D178"/>
    <mergeCell ref="G178:H178"/>
    <mergeCell ref="C179:D179"/>
    <mergeCell ref="G179:H179"/>
    <mergeCell ref="C180:D180"/>
    <mergeCell ref="G180:H180"/>
    <mergeCell ref="C158:D158"/>
    <mergeCell ref="G158:H158"/>
    <mergeCell ref="C159:D159"/>
    <mergeCell ref="G159:H159"/>
    <mergeCell ref="C160:D160"/>
    <mergeCell ref="G160:H160"/>
    <mergeCell ref="C161:D161"/>
    <mergeCell ref="G161:H161"/>
    <mergeCell ref="C162:D162"/>
    <mergeCell ref="G162:H162"/>
    <mergeCell ref="C163:D163"/>
    <mergeCell ref="G163:H163"/>
    <mergeCell ref="C164:D164"/>
    <mergeCell ref="G164:H164"/>
    <mergeCell ref="C165:D165"/>
    <mergeCell ref="G165:H165"/>
    <mergeCell ref="C168:D168"/>
    <mergeCell ref="G168:H168"/>
    <mergeCell ref="G169:H169"/>
    <mergeCell ref="G170:H170"/>
    <mergeCell ref="G171:H171"/>
    <mergeCell ref="G172:H172"/>
    <mergeCell ref="G173:H173"/>
    <mergeCell ref="G174:H174"/>
    <mergeCell ref="C175:D175"/>
    <mergeCell ref="G175:H175"/>
    <mergeCell ref="C173:D173"/>
    <mergeCell ref="F194:H194"/>
    <mergeCell ref="C174:D174"/>
    <mergeCell ref="C186:D186"/>
    <mergeCell ref="G186:H186"/>
    <mergeCell ref="C188:D188"/>
    <mergeCell ref="G188:H188"/>
    <mergeCell ref="C189:D189"/>
    <mergeCell ref="G189:H189"/>
    <mergeCell ref="C190:D190"/>
    <mergeCell ref="G190:H190"/>
    <mergeCell ref="C191:D191"/>
    <mergeCell ref="G191:H191"/>
    <mergeCell ref="C181:D181"/>
    <mergeCell ref="G181:H181"/>
    <mergeCell ref="C182:D182"/>
    <mergeCell ref="G182:H182"/>
    <mergeCell ref="C183:D183"/>
    <mergeCell ref="G183:H183"/>
    <mergeCell ref="C184:D184"/>
    <mergeCell ref="G184:H184"/>
    <mergeCell ref="C185:D185"/>
    <mergeCell ref="G185:H185"/>
    <mergeCell ref="C176:D176"/>
    <mergeCell ref="G176:H176"/>
  </mergeCells>
  <phoneticPr fontId="0" type="noConversion"/>
  <pageMargins left="0.59055118110236227" right="0.19685039370078741" top="7.874015748031496E-2" bottom="7.874015748031496E-2" header="0.51181102362204722" footer="0.51181102362204722"/>
  <pageSetup paperSize="9" scale="80" orientation="portrait" r:id="rId1"/>
  <headerFooter alignWithMargins="0"/>
  <rowBreaks count="4" manualBreakCount="4">
    <brk id="49" max="16383" man="1"/>
    <brk id="98" max="16383" man="1"/>
    <brk id="147" max="16383" man="1"/>
    <brk id="196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view="pageBreakPreview" topLeftCell="A170" zoomScaleSheetLayoutView="100" workbookViewId="0">
      <selection activeCell="A145" sqref="A145:G180"/>
    </sheetView>
  </sheetViews>
  <sheetFormatPr defaultRowHeight="23.25" x14ac:dyDescent="0.5"/>
  <cols>
    <col min="1" max="1" width="47.796875" style="1" customWidth="1"/>
    <col min="2" max="2" width="14.19921875" style="1" customWidth="1"/>
    <col min="3" max="6" width="19" style="1" customWidth="1"/>
    <col min="7" max="7" width="23.796875" style="1" customWidth="1"/>
    <col min="8" max="8" width="20" style="1" customWidth="1"/>
    <col min="9" max="9" width="2.59765625" style="1" bestFit="1" customWidth="1"/>
    <col min="10" max="16384" width="9.59765625" style="1"/>
  </cols>
  <sheetData>
    <row r="1" spans="1:7" x14ac:dyDescent="0.5">
      <c r="A1" s="129"/>
      <c r="B1" s="129"/>
      <c r="C1" s="129"/>
      <c r="D1" s="129"/>
      <c r="E1" s="129"/>
      <c r="F1" s="129"/>
      <c r="G1" s="129"/>
    </row>
    <row r="2" spans="1:7" x14ac:dyDescent="0.5">
      <c r="A2" s="129"/>
      <c r="B2" s="129"/>
      <c r="C2" s="129"/>
      <c r="D2" s="129"/>
      <c r="E2" s="129"/>
      <c r="F2" s="129"/>
      <c r="G2" s="129"/>
    </row>
    <row r="3" spans="1:7" x14ac:dyDescent="0.5">
      <c r="A3" s="300" t="s">
        <v>117</v>
      </c>
      <c r="B3" s="300"/>
      <c r="C3" s="300"/>
      <c r="D3" s="300"/>
      <c r="E3" s="300"/>
      <c r="F3" s="300"/>
      <c r="G3" s="300"/>
    </row>
    <row r="4" spans="1:7" x14ac:dyDescent="0.5">
      <c r="A4" s="300" t="s">
        <v>47</v>
      </c>
      <c r="B4" s="300"/>
      <c r="C4" s="300"/>
      <c r="D4" s="300"/>
      <c r="E4" s="300"/>
      <c r="F4" s="300"/>
      <c r="G4" s="300"/>
    </row>
    <row r="5" spans="1:7" x14ac:dyDescent="0.5">
      <c r="A5" s="300" t="s">
        <v>963</v>
      </c>
      <c r="B5" s="300"/>
      <c r="C5" s="300"/>
      <c r="D5" s="300"/>
      <c r="E5" s="300"/>
      <c r="F5" s="300"/>
      <c r="G5" s="300"/>
    </row>
    <row r="6" spans="1:7" x14ac:dyDescent="0.5">
      <c r="A6" s="23" t="s">
        <v>37</v>
      </c>
      <c r="B6" s="23" t="s">
        <v>1</v>
      </c>
      <c r="C6" s="23" t="s">
        <v>25</v>
      </c>
      <c r="D6" s="23" t="s">
        <v>48</v>
      </c>
      <c r="E6" s="130" t="s">
        <v>49</v>
      </c>
      <c r="F6" s="23" t="s">
        <v>58</v>
      </c>
      <c r="G6" s="23" t="s">
        <v>50</v>
      </c>
    </row>
    <row r="7" spans="1:7" x14ac:dyDescent="0.5">
      <c r="A7" s="6" t="s">
        <v>51</v>
      </c>
      <c r="B7" s="5">
        <v>230102</v>
      </c>
      <c r="C7" s="2">
        <v>0</v>
      </c>
      <c r="D7" s="2">
        <v>5135.8</v>
      </c>
      <c r="E7" s="124"/>
      <c r="F7" s="3">
        <f>C7+D7-E7</f>
        <v>5135.8</v>
      </c>
      <c r="G7" s="7"/>
    </row>
    <row r="8" spans="1:7" x14ac:dyDescent="0.5">
      <c r="A8" s="6" t="s">
        <v>52</v>
      </c>
      <c r="B8" s="5">
        <v>230108</v>
      </c>
      <c r="C8" s="2">
        <v>2290163.25</v>
      </c>
      <c r="D8" s="2"/>
      <c r="E8" s="124">
        <v>115683</v>
      </c>
      <c r="F8" s="3">
        <f t="shared" ref="F8" si="0">C8+D8-E8</f>
        <v>2174480.25</v>
      </c>
      <c r="G8" s="7"/>
    </row>
    <row r="9" spans="1:7" x14ac:dyDescent="0.5">
      <c r="A9" s="6" t="s">
        <v>53</v>
      </c>
      <c r="B9" s="5">
        <v>230105</v>
      </c>
      <c r="C9" s="2">
        <v>22435.98</v>
      </c>
      <c r="D9" s="2">
        <v>14.7</v>
      </c>
      <c r="E9" s="124"/>
      <c r="F9" s="3">
        <f>C9+D9-E9</f>
        <v>22450.68</v>
      </c>
      <c r="G9" s="7"/>
    </row>
    <row r="10" spans="1:7" x14ac:dyDescent="0.5">
      <c r="A10" s="6" t="s">
        <v>57</v>
      </c>
      <c r="B10" s="5">
        <v>230106</v>
      </c>
      <c r="C10" s="2">
        <v>14410.87</v>
      </c>
      <c r="D10" s="2"/>
      <c r="E10" s="124"/>
      <c r="F10" s="3">
        <f t="shared" ref="F10:F15" si="1">C10+D10-E10</f>
        <v>14410.87</v>
      </c>
      <c r="G10" s="7"/>
    </row>
    <row r="11" spans="1:7" x14ac:dyDescent="0.5">
      <c r="A11" s="6" t="s">
        <v>99</v>
      </c>
      <c r="B11" s="5"/>
      <c r="C11" s="2">
        <v>2184388.52</v>
      </c>
      <c r="D11" s="8"/>
      <c r="E11" s="9"/>
      <c r="F11" s="3">
        <f t="shared" si="1"/>
        <v>2184388.52</v>
      </c>
      <c r="G11" s="123"/>
    </row>
    <row r="12" spans="1:7" x14ac:dyDescent="0.5">
      <c r="A12" s="6" t="s">
        <v>166</v>
      </c>
      <c r="B12" s="125"/>
      <c r="C12" s="2">
        <v>3000</v>
      </c>
      <c r="D12" s="11">
        <v>7000</v>
      </c>
      <c r="E12" s="11"/>
      <c r="F12" s="3">
        <f t="shared" si="1"/>
        <v>10000</v>
      </c>
      <c r="G12" s="12"/>
    </row>
    <row r="13" spans="1:7" x14ac:dyDescent="0.5">
      <c r="A13" s="6" t="s">
        <v>103</v>
      </c>
      <c r="B13" s="10"/>
      <c r="C13" s="2"/>
      <c r="D13" s="11">
        <v>40412.75</v>
      </c>
      <c r="E13" s="11">
        <v>40412.75</v>
      </c>
      <c r="F13" s="3">
        <f t="shared" si="1"/>
        <v>0</v>
      </c>
      <c r="G13" s="12"/>
    </row>
    <row r="14" spans="1:7" x14ac:dyDescent="0.5">
      <c r="A14" s="6" t="s">
        <v>104</v>
      </c>
      <c r="B14" s="5"/>
      <c r="C14" s="2"/>
      <c r="D14" s="8">
        <v>53638</v>
      </c>
      <c r="E14" s="8">
        <v>53638</v>
      </c>
      <c r="F14" s="3">
        <f t="shared" si="1"/>
        <v>0</v>
      </c>
      <c r="G14" s="7"/>
    </row>
    <row r="15" spans="1:7" x14ac:dyDescent="0.5">
      <c r="A15" s="6" t="s">
        <v>90</v>
      </c>
      <c r="B15" s="5"/>
      <c r="C15" s="2"/>
      <c r="D15" s="8">
        <v>73600</v>
      </c>
      <c r="E15" s="8">
        <v>73600</v>
      </c>
      <c r="F15" s="3">
        <f t="shared" si="1"/>
        <v>0</v>
      </c>
      <c r="G15" s="7"/>
    </row>
    <row r="16" spans="1:7" x14ac:dyDescent="0.5">
      <c r="A16" s="6" t="s">
        <v>161</v>
      </c>
      <c r="B16" s="5"/>
      <c r="C16" s="2"/>
      <c r="D16" s="8">
        <v>26780</v>
      </c>
      <c r="E16" s="8">
        <v>26780</v>
      </c>
      <c r="F16" s="3">
        <f>C16+D16-E16</f>
        <v>0</v>
      </c>
      <c r="G16" s="7"/>
    </row>
    <row r="17" spans="1:7" x14ac:dyDescent="0.5">
      <c r="A17" s="6" t="s">
        <v>162</v>
      </c>
      <c r="B17" s="5"/>
      <c r="C17" s="2"/>
      <c r="D17" s="8">
        <v>216105</v>
      </c>
      <c r="E17" s="8">
        <v>216105</v>
      </c>
      <c r="F17" s="3">
        <f>C17+D17-E17</f>
        <v>0</v>
      </c>
      <c r="G17" s="7"/>
    </row>
    <row r="18" spans="1:7" x14ac:dyDescent="0.5">
      <c r="A18" s="6" t="s">
        <v>105</v>
      </c>
      <c r="B18" s="22"/>
      <c r="C18" s="2"/>
      <c r="D18" s="22">
        <v>9100</v>
      </c>
      <c r="E18" s="22">
        <v>9100</v>
      </c>
      <c r="F18" s="3">
        <f>C18+D18-E18</f>
        <v>0</v>
      </c>
      <c r="G18" s="4"/>
    </row>
    <row r="19" spans="1:7" x14ac:dyDescent="0.5">
      <c r="A19" s="6" t="s">
        <v>124</v>
      </c>
      <c r="B19" s="10"/>
      <c r="C19" s="2"/>
      <c r="D19" s="11">
        <v>46700</v>
      </c>
      <c r="E19" s="11">
        <v>46700</v>
      </c>
      <c r="F19" s="3">
        <f>C19+D19-E19</f>
        <v>0</v>
      </c>
      <c r="G19" s="12"/>
    </row>
    <row r="20" spans="1:7" x14ac:dyDescent="0.5">
      <c r="A20" s="6" t="s">
        <v>106</v>
      </c>
      <c r="B20" s="10"/>
      <c r="C20" s="2"/>
      <c r="D20" s="11">
        <v>135</v>
      </c>
      <c r="E20" s="11">
        <v>135</v>
      </c>
      <c r="F20" s="3">
        <f>C20+D20-E20</f>
        <v>0</v>
      </c>
      <c r="G20" s="12"/>
    </row>
    <row r="21" spans="1:7" ht="24" thickBot="1" x14ac:dyDescent="0.55000000000000004">
      <c r="A21" s="46" t="s">
        <v>44</v>
      </c>
      <c r="B21" s="48"/>
      <c r="C21" s="49">
        <f>SUM(C7:C20)</f>
        <v>4514398.62</v>
      </c>
      <c r="D21" s="26">
        <f>SUM(D7:D20)</f>
        <v>478621.25</v>
      </c>
      <c r="E21" s="50">
        <f>SUM(E7:E20)</f>
        <v>582153.75</v>
      </c>
      <c r="F21" s="51">
        <f>SUM(F7:F20)</f>
        <v>4410866.12</v>
      </c>
      <c r="G21" s="52"/>
    </row>
    <row r="22" spans="1:7" ht="24" thickTop="1" x14ac:dyDescent="0.5">
      <c r="A22" s="15"/>
      <c r="B22" s="16"/>
      <c r="C22" s="16"/>
      <c r="D22" s="16"/>
      <c r="E22" s="16"/>
      <c r="F22" s="16"/>
      <c r="G22" s="17"/>
    </row>
    <row r="23" spans="1:7" x14ac:dyDescent="0.5">
      <c r="A23" s="14"/>
      <c r="B23" s="333" t="s">
        <v>453</v>
      </c>
      <c r="C23" s="333"/>
      <c r="D23" s="333"/>
      <c r="E23" s="333"/>
      <c r="F23" s="14"/>
      <c r="G23" s="14"/>
    </row>
    <row r="24" spans="1:7" x14ac:dyDescent="0.5">
      <c r="A24" s="332" t="s">
        <v>150</v>
      </c>
      <c r="B24" s="332"/>
      <c r="C24" s="332"/>
      <c r="D24" s="332"/>
      <c r="E24" s="332"/>
      <c r="F24" s="332"/>
      <c r="G24" s="332"/>
    </row>
    <row r="25" spans="1:7" x14ac:dyDescent="0.5">
      <c r="A25" s="332" t="s">
        <v>151</v>
      </c>
      <c r="B25" s="332"/>
      <c r="C25" s="332"/>
      <c r="D25" s="332"/>
      <c r="E25" s="332"/>
      <c r="F25" s="332"/>
      <c r="G25" s="332"/>
    </row>
    <row r="26" spans="1:7" x14ac:dyDescent="0.5">
      <c r="A26" s="14"/>
      <c r="B26" s="14"/>
      <c r="C26" s="14"/>
      <c r="D26" s="14"/>
      <c r="E26" s="14"/>
      <c r="F26" s="14"/>
      <c r="G26" s="14"/>
    </row>
    <row r="27" spans="1:7" x14ac:dyDescent="0.5">
      <c r="A27" s="14"/>
      <c r="B27" s="332" t="s">
        <v>454</v>
      </c>
      <c r="C27" s="332"/>
      <c r="D27" s="332"/>
      <c r="E27" s="332"/>
      <c r="F27" s="14"/>
      <c r="G27" s="14"/>
    </row>
    <row r="28" spans="1:7" x14ac:dyDescent="0.5">
      <c r="A28" s="332" t="s">
        <v>152</v>
      </c>
      <c r="B28" s="332"/>
      <c r="C28" s="332"/>
      <c r="D28" s="332"/>
      <c r="E28" s="332"/>
      <c r="F28" s="332"/>
      <c r="G28" s="332"/>
    </row>
    <row r="29" spans="1:7" x14ac:dyDescent="0.5">
      <c r="A29" s="332" t="s">
        <v>153</v>
      </c>
      <c r="B29" s="332"/>
      <c r="C29" s="332"/>
      <c r="D29" s="332"/>
      <c r="E29" s="332"/>
      <c r="F29" s="332"/>
      <c r="G29" s="332"/>
    </row>
    <row r="30" spans="1:7" x14ac:dyDescent="0.5">
      <c r="A30" s="14"/>
      <c r="B30" s="14"/>
      <c r="C30" s="14"/>
      <c r="D30" s="14"/>
      <c r="E30" s="14"/>
      <c r="F30" s="14"/>
      <c r="G30" s="14"/>
    </row>
    <row r="31" spans="1:7" x14ac:dyDescent="0.5">
      <c r="A31" s="14"/>
      <c r="B31" s="332" t="s">
        <v>455</v>
      </c>
      <c r="C31" s="332"/>
      <c r="D31" s="332"/>
      <c r="E31" s="332"/>
      <c r="F31" s="14"/>
      <c r="G31" s="14"/>
    </row>
    <row r="32" spans="1:7" x14ac:dyDescent="0.5">
      <c r="A32" s="332" t="s">
        <v>152</v>
      </c>
      <c r="B32" s="332"/>
      <c r="C32" s="332"/>
      <c r="D32" s="332"/>
      <c r="E32" s="332"/>
      <c r="F32" s="332"/>
      <c r="G32" s="332"/>
    </row>
    <row r="33" spans="1:7" x14ac:dyDescent="0.5">
      <c r="A33" s="332" t="s">
        <v>153</v>
      </c>
      <c r="B33" s="332"/>
      <c r="C33" s="332"/>
      <c r="D33" s="332"/>
      <c r="E33" s="332"/>
      <c r="F33" s="332"/>
      <c r="G33" s="332"/>
    </row>
    <row r="34" spans="1:7" x14ac:dyDescent="0.5">
      <c r="C34" s="14" t="s">
        <v>452</v>
      </c>
    </row>
    <row r="35" spans="1:7" x14ac:dyDescent="0.5">
      <c r="A35" s="221"/>
      <c r="B35" s="221"/>
      <c r="C35" s="221"/>
      <c r="D35" s="221"/>
      <c r="E35" s="221"/>
      <c r="F35" s="221"/>
      <c r="G35" s="221"/>
    </row>
    <row r="36" spans="1:7" x14ac:dyDescent="0.5">
      <c r="A36" s="221"/>
      <c r="B36" s="221"/>
      <c r="C36" s="221"/>
      <c r="D36" s="221"/>
      <c r="E36" s="221"/>
      <c r="F36" s="221"/>
      <c r="G36" s="221"/>
    </row>
    <row r="37" spans="1:7" x14ac:dyDescent="0.5">
      <c r="A37" s="300" t="s">
        <v>117</v>
      </c>
      <c r="B37" s="300"/>
      <c r="C37" s="300"/>
      <c r="D37" s="300"/>
      <c r="E37" s="300"/>
      <c r="F37" s="300"/>
      <c r="G37" s="300"/>
    </row>
    <row r="38" spans="1:7" x14ac:dyDescent="0.5">
      <c r="A38" s="300" t="s">
        <v>47</v>
      </c>
      <c r="B38" s="300"/>
      <c r="C38" s="300"/>
      <c r="D38" s="300"/>
      <c r="E38" s="300"/>
      <c r="F38" s="300"/>
      <c r="G38" s="300"/>
    </row>
    <row r="39" spans="1:7" x14ac:dyDescent="0.5">
      <c r="A39" s="300" t="s">
        <v>974</v>
      </c>
      <c r="B39" s="300"/>
      <c r="C39" s="300"/>
      <c r="D39" s="300"/>
      <c r="E39" s="300"/>
      <c r="F39" s="300"/>
      <c r="G39" s="300"/>
    </row>
    <row r="40" spans="1:7" x14ac:dyDescent="0.5">
      <c r="A40" s="23" t="s">
        <v>37</v>
      </c>
      <c r="B40" s="23" t="s">
        <v>1</v>
      </c>
      <c r="C40" s="23" t="s">
        <v>25</v>
      </c>
      <c r="D40" s="23" t="s">
        <v>48</v>
      </c>
      <c r="E40" s="222" t="s">
        <v>49</v>
      </c>
      <c r="F40" s="23" t="s">
        <v>58</v>
      </c>
      <c r="G40" s="23" t="s">
        <v>50</v>
      </c>
    </row>
    <row r="41" spans="1:7" x14ac:dyDescent="0.5">
      <c r="A41" s="6" t="s">
        <v>51</v>
      </c>
      <c r="B41" s="5">
        <v>230102</v>
      </c>
      <c r="C41" s="2">
        <f>F7</f>
        <v>5135.8</v>
      </c>
      <c r="D41" s="2">
        <v>11580.51</v>
      </c>
      <c r="E41" s="216">
        <v>5135.8</v>
      </c>
      <c r="F41" s="3">
        <f>C41+D41-E41</f>
        <v>11580.510000000002</v>
      </c>
      <c r="G41" s="7"/>
    </row>
    <row r="42" spans="1:7" x14ac:dyDescent="0.5">
      <c r="A42" s="6" t="s">
        <v>52</v>
      </c>
      <c r="B42" s="5">
        <v>230108</v>
      </c>
      <c r="C42" s="2">
        <f t="shared" ref="C42:C54" si="2">F8</f>
        <v>2174480.25</v>
      </c>
      <c r="D42" s="2"/>
      <c r="E42" s="216"/>
      <c r="F42" s="3">
        <f t="shared" ref="F42" si="3">C42+D42-E42</f>
        <v>2174480.25</v>
      </c>
      <c r="G42" s="7"/>
    </row>
    <row r="43" spans="1:7" x14ac:dyDescent="0.5">
      <c r="A43" s="6" t="s">
        <v>53</v>
      </c>
      <c r="B43" s="5">
        <v>230105</v>
      </c>
      <c r="C43" s="2">
        <f t="shared" si="2"/>
        <v>22450.68</v>
      </c>
      <c r="D43" s="2"/>
      <c r="E43" s="216"/>
      <c r="F43" s="3">
        <f>C43+D43-E43</f>
        <v>22450.68</v>
      </c>
      <c r="G43" s="7"/>
    </row>
    <row r="44" spans="1:7" x14ac:dyDescent="0.5">
      <c r="A44" s="6" t="s">
        <v>57</v>
      </c>
      <c r="B44" s="5">
        <v>230106</v>
      </c>
      <c r="C44" s="2">
        <f t="shared" si="2"/>
        <v>14410.87</v>
      </c>
      <c r="D44" s="2"/>
      <c r="E44" s="216"/>
      <c r="F44" s="3">
        <f t="shared" ref="F44:F49" si="4">C44+D44-E44</f>
        <v>14410.87</v>
      </c>
      <c r="G44" s="7"/>
    </row>
    <row r="45" spans="1:7" x14ac:dyDescent="0.5">
      <c r="A45" s="6" t="s">
        <v>99</v>
      </c>
      <c r="B45" s="5"/>
      <c r="C45" s="2">
        <f t="shared" si="2"/>
        <v>2184388.52</v>
      </c>
      <c r="D45" s="8"/>
      <c r="E45" s="9"/>
      <c r="F45" s="3">
        <f t="shared" si="4"/>
        <v>2184388.52</v>
      </c>
      <c r="G45" s="123"/>
    </row>
    <row r="46" spans="1:7" x14ac:dyDescent="0.5">
      <c r="A46" s="6" t="s">
        <v>166</v>
      </c>
      <c r="B46" s="217"/>
      <c r="C46" s="2">
        <f t="shared" si="2"/>
        <v>10000</v>
      </c>
      <c r="D46" s="11"/>
      <c r="E46" s="11"/>
      <c r="F46" s="3">
        <f t="shared" si="4"/>
        <v>10000</v>
      </c>
      <c r="G46" s="12"/>
    </row>
    <row r="47" spans="1:7" x14ac:dyDescent="0.5">
      <c r="A47" s="6" t="s">
        <v>103</v>
      </c>
      <c r="B47" s="10"/>
      <c r="C47" s="2">
        <f t="shared" si="2"/>
        <v>0</v>
      </c>
      <c r="D47" s="11">
        <v>39603</v>
      </c>
      <c r="E47" s="11">
        <v>39603</v>
      </c>
      <c r="F47" s="3">
        <f t="shared" si="4"/>
        <v>0</v>
      </c>
      <c r="G47" s="12"/>
    </row>
    <row r="48" spans="1:7" x14ac:dyDescent="0.5">
      <c r="A48" s="6" t="s">
        <v>104</v>
      </c>
      <c r="B48" s="5"/>
      <c r="C48" s="2">
        <f t="shared" si="2"/>
        <v>0</v>
      </c>
      <c r="D48" s="8">
        <v>38835.83</v>
      </c>
      <c r="E48" s="8">
        <v>38835.83</v>
      </c>
      <c r="F48" s="3">
        <f t="shared" si="4"/>
        <v>0</v>
      </c>
      <c r="G48" s="7"/>
    </row>
    <row r="49" spans="1:7" x14ac:dyDescent="0.5">
      <c r="A49" s="6" t="s">
        <v>90</v>
      </c>
      <c r="B49" s="5"/>
      <c r="C49" s="2">
        <f t="shared" si="2"/>
        <v>0</v>
      </c>
      <c r="D49" s="8">
        <v>68300</v>
      </c>
      <c r="E49" s="8">
        <v>68300</v>
      </c>
      <c r="F49" s="3">
        <f t="shared" si="4"/>
        <v>0</v>
      </c>
      <c r="G49" s="7"/>
    </row>
    <row r="50" spans="1:7" x14ac:dyDescent="0.5">
      <c r="A50" s="6" t="s">
        <v>161</v>
      </c>
      <c r="B50" s="5"/>
      <c r="C50" s="2">
        <f t="shared" si="2"/>
        <v>0</v>
      </c>
      <c r="D50" s="8">
        <v>26780</v>
      </c>
      <c r="E50" s="8">
        <v>26780</v>
      </c>
      <c r="F50" s="3">
        <f>C50+D50-E50</f>
        <v>0</v>
      </c>
      <c r="G50" s="7"/>
    </row>
    <row r="51" spans="1:7" x14ac:dyDescent="0.5">
      <c r="A51" s="6" t="s">
        <v>162</v>
      </c>
      <c r="B51" s="5"/>
      <c r="C51" s="2">
        <f t="shared" si="2"/>
        <v>0</v>
      </c>
      <c r="D51" s="8">
        <v>207062</v>
      </c>
      <c r="E51" s="8">
        <v>207062</v>
      </c>
      <c r="F51" s="3">
        <f>C51+D51-E51</f>
        <v>0</v>
      </c>
      <c r="G51" s="7"/>
    </row>
    <row r="52" spans="1:7" x14ac:dyDescent="0.5">
      <c r="A52" s="6" t="s">
        <v>105</v>
      </c>
      <c r="B52" s="22"/>
      <c r="C52" s="2">
        <f t="shared" si="2"/>
        <v>0</v>
      </c>
      <c r="D52" s="22">
        <v>9100</v>
      </c>
      <c r="E52" s="22">
        <v>9100</v>
      </c>
      <c r="F52" s="3">
        <f>C52+D52-E52</f>
        <v>0</v>
      </c>
      <c r="G52" s="4"/>
    </row>
    <row r="53" spans="1:7" x14ac:dyDescent="0.5">
      <c r="A53" s="6" t="s">
        <v>124</v>
      </c>
      <c r="B53" s="10"/>
      <c r="C53" s="2">
        <f t="shared" si="2"/>
        <v>0</v>
      </c>
      <c r="D53" s="11">
        <v>46700</v>
      </c>
      <c r="E53" s="11">
        <v>46700</v>
      </c>
      <c r="F53" s="3">
        <f>C53+D53-E53</f>
        <v>0</v>
      </c>
      <c r="G53" s="12"/>
    </row>
    <row r="54" spans="1:7" x14ac:dyDescent="0.5">
      <c r="A54" s="6" t="s">
        <v>106</v>
      </c>
      <c r="B54" s="10"/>
      <c r="C54" s="2">
        <f t="shared" si="2"/>
        <v>0</v>
      </c>
      <c r="D54" s="11">
        <v>174</v>
      </c>
      <c r="E54" s="11">
        <v>174</v>
      </c>
      <c r="F54" s="3">
        <f>C54+D54-E54</f>
        <v>0</v>
      </c>
      <c r="G54" s="12"/>
    </row>
    <row r="55" spans="1:7" ht="24" thickBot="1" x14ac:dyDescent="0.55000000000000004">
      <c r="A55" s="46" t="s">
        <v>44</v>
      </c>
      <c r="B55" s="48"/>
      <c r="C55" s="49">
        <f>SUM(C41:C54)</f>
        <v>4410866.12</v>
      </c>
      <c r="D55" s="26">
        <f>SUM(D41:D54)</f>
        <v>448135.33999999997</v>
      </c>
      <c r="E55" s="50">
        <f>SUM(E41:E54)</f>
        <v>441690.63</v>
      </c>
      <c r="F55" s="51">
        <f>SUM(F41:F54)</f>
        <v>4417310.83</v>
      </c>
      <c r="G55" s="52"/>
    </row>
    <row r="56" spans="1:7" ht="24" thickTop="1" x14ac:dyDescent="0.5">
      <c r="A56" s="15"/>
      <c r="B56" s="16"/>
      <c r="C56" s="16"/>
      <c r="D56" s="16"/>
      <c r="E56" s="16"/>
      <c r="F56" s="16"/>
      <c r="G56" s="17"/>
    </row>
    <row r="57" spans="1:7" x14ac:dyDescent="0.5">
      <c r="A57" s="14"/>
      <c r="B57" s="333" t="s">
        <v>453</v>
      </c>
      <c r="C57" s="333"/>
      <c r="D57" s="333"/>
      <c r="E57" s="333"/>
      <c r="F57" s="14"/>
      <c r="G57" s="14"/>
    </row>
    <row r="58" spans="1:7" x14ac:dyDescent="0.5">
      <c r="A58" s="332" t="s">
        <v>150</v>
      </c>
      <c r="B58" s="332"/>
      <c r="C58" s="332"/>
      <c r="D58" s="332"/>
      <c r="E58" s="332"/>
      <c r="F58" s="332"/>
      <c r="G58" s="332"/>
    </row>
    <row r="59" spans="1:7" x14ac:dyDescent="0.5">
      <c r="A59" s="332" t="s">
        <v>151</v>
      </c>
      <c r="B59" s="332"/>
      <c r="C59" s="332"/>
      <c r="D59" s="332"/>
      <c r="E59" s="332"/>
      <c r="F59" s="332"/>
      <c r="G59" s="332"/>
    </row>
    <row r="60" spans="1:7" x14ac:dyDescent="0.5">
      <c r="A60" s="14"/>
      <c r="B60" s="14"/>
      <c r="C60" s="14"/>
      <c r="D60" s="14"/>
      <c r="E60" s="14"/>
      <c r="F60" s="14"/>
      <c r="G60" s="14"/>
    </row>
    <row r="61" spans="1:7" x14ac:dyDescent="0.5">
      <c r="A61" s="14"/>
      <c r="B61" s="332" t="s">
        <v>454</v>
      </c>
      <c r="C61" s="332"/>
      <c r="D61" s="332"/>
      <c r="E61" s="332"/>
      <c r="F61" s="14"/>
      <c r="G61" s="14"/>
    </row>
    <row r="62" spans="1:7" x14ac:dyDescent="0.5">
      <c r="A62" s="332" t="s">
        <v>152</v>
      </c>
      <c r="B62" s="332"/>
      <c r="C62" s="332"/>
      <c r="D62" s="332"/>
      <c r="E62" s="332"/>
      <c r="F62" s="332"/>
      <c r="G62" s="332"/>
    </row>
    <row r="63" spans="1:7" x14ac:dyDescent="0.5">
      <c r="A63" s="332" t="s">
        <v>153</v>
      </c>
      <c r="B63" s="332"/>
      <c r="C63" s="332"/>
      <c r="D63" s="332"/>
      <c r="E63" s="332"/>
      <c r="F63" s="332"/>
      <c r="G63" s="332"/>
    </row>
    <row r="64" spans="1:7" x14ac:dyDescent="0.5">
      <c r="A64" s="14"/>
      <c r="B64" s="14"/>
      <c r="C64" s="14"/>
      <c r="D64" s="14"/>
      <c r="E64" s="14"/>
      <c r="F64" s="14"/>
      <c r="G64" s="14"/>
    </row>
    <row r="65" spans="1:7" x14ac:dyDescent="0.5">
      <c r="A65" s="14"/>
      <c r="B65" s="332" t="s">
        <v>455</v>
      </c>
      <c r="C65" s="332"/>
      <c r="D65" s="332"/>
      <c r="E65" s="332"/>
      <c r="F65" s="14"/>
      <c r="G65" s="14"/>
    </row>
    <row r="66" spans="1:7" x14ac:dyDescent="0.5">
      <c r="A66" s="332" t="s">
        <v>979</v>
      </c>
      <c r="B66" s="332"/>
      <c r="C66" s="332"/>
      <c r="D66" s="332"/>
      <c r="E66" s="332"/>
      <c r="F66" s="332"/>
      <c r="G66" s="332"/>
    </row>
    <row r="67" spans="1:7" x14ac:dyDescent="0.5">
      <c r="A67" s="332" t="s">
        <v>980</v>
      </c>
      <c r="B67" s="332"/>
      <c r="C67" s="332"/>
      <c r="D67" s="332"/>
      <c r="E67" s="332"/>
      <c r="F67" s="332"/>
      <c r="G67" s="332"/>
    </row>
    <row r="68" spans="1:7" x14ac:dyDescent="0.5">
      <c r="A68" s="235"/>
      <c r="B68" s="235"/>
      <c r="C68" s="235"/>
      <c r="D68" s="235"/>
      <c r="E68" s="235"/>
      <c r="F68" s="235"/>
      <c r="G68" s="235"/>
    </row>
    <row r="69" spans="1:7" x14ac:dyDescent="0.5">
      <c r="A69" s="235"/>
      <c r="B69" s="235"/>
      <c r="C69" s="235"/>
      <c r="D69" s="235"/>
      <c r="E69" s="235"/>
      <c r="F69" s="235"/>
      <c r="G69" s="235"/>
    </row>
    <row r="70" spans="1:7" x14ac:dyDescent="0.5">
      <c r="A70" s="235"/>
      <c r="B70" s="235"/>
      <c r="C70" s="235"/>
      <c r="D70" s="235"/>
      <c r="E70" s="235"/>
      <c r="F70" s="235"/>
      <c r="G70" s="235"/>
    </row>
    <row r="71" spans="1:7" x14ac:dyDescent="0.5">
      <c r="A71" s="235"/>
      <c r="B71" s="235"/>
      <c r="C71" s="235"/>
      <c r="D71" s="235"/>
      <c r="E71" s="235"/>
      <c r="F71" s="235"/>
      <c r="G71" s="235"/>
    </row>
    <row r="72" spans="1:7" x14ac:dyDescent="0.5">
      <c r="C72" s="14"/>
    </row>
    <row r="74" spans="1:7" x14ac:dyDescent="0.5">
      <c r="A74" s="300" t="s">
        <v>117</v>
      </c>
      <c r="B74" s="300"/>
      <c r="C74" s="300"/>
      <c r="D74" s="300"/>
      <c r="E74" s="300"/>
      <c r="F74" s="300"/>
      <c r="G74" s="300"/>
    </row>
    <row r="75" spans="1:7" x14ac:dyDescent="0.5">
      <c r="A75" s="300" t="s">
        <v>47</v>
      </c>
      <c r="B75" s="300"/>
      <c r="C75" s="300"/>
      <c r="D75" s="300"/>
      <c r="E75" s="300"/>
      <c r="F75" s="300"/>
      <c r="G75" s="300"/>
    </row>
    <row r="76" spans="1:7" x14ac:dyDescent="0.5">
      <c r="A76" s="300" t="s">
        <v>987</v>
      </c>
      <c r="B76" s="300"/>
      <c r="C76" s="300"/>
      <c r="D76" s="300"/>
      <c r="E76" s="300"/>
      <c r="F76" s="300"/>
      <c r="G76" s="300"/>
    </row>
    <row r="77" spans="1:7" x14ac:dyDescent="0.5">
      <c r="A77" s="23" t="s">
        <v>37</v>
      </c>
      <c r="B77" s="23" t="s">
        <v>1</v>
      </c>
      <c r="C77" s="23" t="s">
        <v>25</v>
      </c>
      <c r="D77" s="23" t="s">
        <v>48</v>
      </c>
      <c r="E77" s="236" t="s">
        <v>49</v>
      </c>
      <c r="F77" s="23" t="s">
        <v>58</v>
      </c>
      <c r="G77" s="23" t="s">
        <v>50</v>
      </c>
    </row>
    <row r="78" spans="1:7" x14ac:dyDescent="0.5">
      <c r="A78" s="6" t="s">
        <v>51</v>
      </c>
      <c r="B78" s="5">
        <v>230102</v>
      </c>
      <c r="C78" s="2">
        <f>F41</f>
        <v>11580.510000000002</v>
      </c>
      <c r="D78" s="2">
        <v>16966.349999999999</v>
      </c>
      <c r="E78" s="2">
        <v>11580.51</v>
      </c>
      <c r="F78" s="3">
        <f>C78+D78-E78</f>
        <v>16966.349999999999</v>
      </c>
      <c r="G78" s="7"/>
    </row>
    <row r="79" spans="1:7" x14ac:dyDescent="0.5">
      <c r="A79" s="6" t="s">
        <v>52</v>
      </c>
      <c r="B79" s="5">
        <v>230108</v>
      </c>
      <c r="C79" s="2">
        <f t="shared" ref="C79:C91" si="5">F42</f>
        <v>2174480.25</v>
      </c>
      <c r="D79" s="2">
        <v>10000</v>
      </c>
      <c r="E79" s="232">
        <v>85605</v>
      </c>
      <c r="F79" s="3">
        <f t="shared" ref="F79" si="6">C79+D79-E79</f>
        <v>2098875.25</v>
      </c>
      <c r="G79" s="7"/>
    </row>
    <row r="80" spans="1:7" x14ac:dyDescent="0.5">
      <c r="A80" s="6" t="s">
        <v>53</v>
      </c>
      <c r="B80" s="5">
        <v>230105</v>
      </c>
      <c r="C80" s="2">
        <f t="shared" si="5"/>
        <v>22450.68</v>
      </c>
      <c r="D80" s="2">
        <v>12.34</v>
      </c>
      <c r="E80" s="232"/>
      <c r="F80" s="3">
        <f>C80+D80-E80</f>
        <v>22463.02</v>
      </c>
      <c r="G80" s="7"/>
    </row>
    <row r="81" spans="1:7" x14ac:dyDescent="0.5">
      <c r="A81" s="6" t="s">
        <v>57</v>
      </c>
      <c r="B81" s="5">
        <v>230106</v>
      </c>
      <c r="C81" s="2">
        <f t="shared" si="5"/>
        <v>14410.87</v>
      </c>
      <c r="D81" s="2"/>
      <c r="E81" s="232"/>
      <c r="F81" s="3">
        <f t="shared" ref="F81:F86" si="7">C81+D81-E81</f>
        <v>14410.87</v>
      </c>
      <c r="G81" s="7"/>
    </row>
    <row r="82" spans="1:7" x14ac:dyDescent="0.5">
      <c r="A82" s="6" t="s">
        <v>99</v>
      </c>
      <c r="B82" s="5"/>
      <c r="C82" s="2">
        <f t="shared" si="5"/>
        <v>2184388.52</v>
      </c>
      <c r="D82" s="8">
        <v>1158885</v>
      </c>
      <c r="E82" s="9"/>
      <c r="F82" s="3">
        <f t="shared" si="7"/>
        <v>3343273.52</v>
      </c>
      <c r="G82" s="123"/>
    </row>
    <row r="83" spans="1:7" x14ac:dyDescent="0.5">
      <c r="A83" s="6" t="s">
        <v>166</v>
      </c>
      <c r="B83" s="234"/>
      <c r="C83" s="2">
        <f t="shared" si="5"/>
        <v>10000</v>
      </c>
      <c r="D83" s="11"/>
      <c r="E83" s="11">
        <v>3000</v>
      </c>
      <c r="F83" s="3">
        <f t="shared" si="7"/>
        <v>7000</v>
      </c>
      <c r="G83" s="12"/>
    </row>
    <row r="84" spans="1:7" x14ac:dyDescent="0.5">
      <c r="A84" s="6" t="s">
        <v>103</v>
      </c>
      <c r="B84" s="10"/>
      <c r="C84" s="2">
        <f t="shared" si="5"/>
        <v>0</v>
      </c>
      <c r="D84" s="11">
        <v>39852.75</v>
      </c>
      <c r="E84" s="11">
        <v>39852.75</v>
      </c>
      <c r="F84" s="3">
        <f t="shared" si="7"/>
        <v>0</v>
      </c>
      <c r="G84" s="12"/>
    </row>
    <row r="85" spans="1:7" x14ac:dyDescent="0.5">
      <c r="A85" s="6" t="s">
        <v>104</v>
      </c>
      <c r="B85" s="5"/>
      <c r="C85" s="2">
        <f t="shared" si="5"/>
        <v>0</v>
      </c>
      <c r="D85" s="8">
        <v>38437.839999999997</v>
      </c>
      <c r="E85" s="8">
        <v>38437.839999999997</v>
      </c>
      <c r="F85" s="3">
        <f t="shared" si="7"/>
        <v>0</v>
      </c>
      <c r="G85" s="7"/>
    </row>
    <row r="86" spans="1:7" x14ac:dyDescent="0.5">
      <c r="A86" s="6" t="s">
        <v>90</v>
      </c>
      <c r="B86" s="5"/>
      <c r="C86" s="2">
        <f t="shared" si="5"/>
        <v>0</v>
      </c>
      <c r="D86" s="8">
        <v>68300</v>
      </c>
      <c r="E86" s="8">
        <v>68300</v>
      </c>
      <c r="F86" s="3">
        <f t="shared" si="7"/>
        <v>0</v>
      </c>
      <c r="G86" s="7"/>
    </row>
    <row r="87" spans="1:7" x14ac:dyDescent="0.5">
      <c r="A87" s="6" t="s">
        <v>161</v>
      </c>
      <c r="B87" s="5"/>
      <c r="C87" s="2">
        <f t="shared" si="5"/>
        <v>0</v>
      </c>
      <c r="D87" s="8">
        <v>26780</v>
      </c>
      <c r="E87" s="8">
        <v>26780</v>
      </c>
      <c r="F87" s="3">
        <f>C87+D87-E87</f>
        <v>0</v>
      </c>
      <c r="G87" s="7"/>
    </row>
    <row r="88" spans="1:7" x14ac:dyDescent="0.5">
      <c r="A88" s="6" t="s">
        <v>162</v>
      </c>
      <c r="B88" s="5"/>
      <c r="C88" s="2">
        <f t="shared" si="5"/>
        <v>0</v>
      </c>
      <c r="D88" s="8">
        <v>225100</v>
      </c>
      <c r="E88" s="8">
        <v>225100</v>
      </c>
      <c r="F88" s="3">
        <f>C88+D88-E88</f>
        <v>0</v>
      </c>
      <c r="G88" s="7"/>
    </row>
    <row r="89" spans="1:7" x14ac:dyDescent="0.5">
      <c r="A89" s="6" t="s">
        <v>105</v>
      </c>
      <c r="B89" s="22"/>
      <c r="C89" s="2">
        <f t="shared" si="5"/>
        <v>0</v>
      </c>
      <c r="D89" s="22">
        <v>9100</v>
      </c>
      <c r="E89" s="22">
        <v>9100</v>
      </c>
      <c r="F89" s="3">
        <f>C89+D89-E89</f>
        <v>0</v>
      </c>
      <c r="G89" s="4"/>
    </row>
    <row r="90" spans="1:7" x14ac:dyDescent="0.5">
      <c r="A90" s="6" t="s">
        <v>124</v>
      </c>
      <c r="B90" s="10"/>
      <c r="C90" s="2">
        <f t="shared" si="5"/>
        <v>0</v>
      </c>
      <c r="D90" s="11">
        <v>53990</v>
      </c>
      <c r="E90" s="11">
        <v>53990</v>
      </c>
      <c r="F90" s="3">
        <f>C90+D90-E90</f>
        <v>0</v>
      </c>
      <c r="G90" s="12"/>
    </row>
    <row r="91" spans="1:7" x14ac:dyDescent="0.5">
      <c r="A91" s="6" t="s">
        <v>106</v>
      </c>
      <c r="B91" s="10"/>
      <c r="C91" s="2">
        <f t="shared" si="5"/>
        <v>0</v>
      </c>
      <c r="D91" s="11">
        <v>180</v>
      </c>
      <c r="E91" s="11">
        <v>180</v>
      </c>
      <c r="F91" s="3">
        <f>C91+D91-E91</f>
        <v>0</v>
      </c>
      <c r="G91" s="12"/>
    </row>
    <row r="92" spans="1:7" ht="24" thickBot="1" x14ac:dyDescent="0.55000000000000004">
      <c r="A92" s="46" t="s">
        <v>44</v>
      </c>
      <c r="B92" s="48"/>
      <c r="C92" s="49">
        <f>SUM(C78:C91)</f>
        <v>4417310.83</v>
      </c>
      <c r="D92" s="26">
        <f>SUM(D78:D91)</f>
        <v>1647604.28</v>
      </c>
      <c r="E92" s="50">
        <f>SUM(E78:E91)</f>
        <v>561926.1</v>
      </c>
      <c r="F92" s="51">
        <f>SUM(F78:F91)</f>
        <v>5502989.0099999998</v>
      </c>
      <c r="G92" s="52"/>
    </row>
    <row r="93" spans="1:7" ht="24" thickTop="1" x14ac:dyDescent="0.5">
      <c r="A93" s="15"/>
      <c r="B93" s="16"/>
      <c r="C93" s="16"/>
      <c r="D93" s="16"/>
      <c r="E93" s="16"/>
      <c r="F93" s="16"/>
      <c r="G93" s="17"/>
    </row>
    <row r="94" spans="1:7" x14ac:dyDescent="0.5">
      <c r="A94" s="14"/>
      <c r="B94" s="333" t="s">
        <v>453</v>
      </c>
      <c r="C94" s="333"/>
      <c r="D94" s="333"/>
      <c r="E94" s="333"/>
      <c r="F94" s="14"/>
      <c r="G94" s="14"/>
    </row>
    <row r="95" spans="1:7" x14ac:dyDescent="0.5">
      <c r="A95" s="332" t="s">
        <v>150</v>
      </c>
      <c r="B95" s="332"/>
      <c r="C95" s="332"/>
      <c r="D95" s="332"/>
      <c r="E95" s="332"/>
      <c r="F95" s="332"/>
      <c r="G95" s="332"/>
    </row>
    <row r="96" spans="1:7" x14ac:dyDescent="0.5">
      <c r="A96" s="332" t="s">
        <v>151</v>
      </c>
      <c r="B96" s="332"/>
      <c r="C96" s="332"/>
      <c r="D96" s="332"/>
      <c r="E96" s="332"/>
      <c r="F96" s="332"/>
      <c r="G96" s="332"/>
    </row>
    <row r="97" spans="1:7" x14ac:dyDescent="0.5">
      <c r="A97" s="14"/>
      <c r="B97" s="14"/>
      <c r="C97" s="14"/>
      <c r="D97" s="14"/>
      <c r="E97" s="14"/>
      <c r="F97" s="14"/>
      <c r="G97" s="14"/>
    </row>
    <row r="98" spans="1:7" x14ac:dyDescent="0.5">
      <c r="A98" s="14"/>
      <c r="B98" s="332" t="s">
        <v>454</v>
      </c>
      <c r="C98" s="332"/>
      <c r="D98" s="332"/>
      <c r="E98" s="332"/>
      <c r="F98" s="14"/>
      <c r="G98" s="14"/>
    </row>
    <row r="99" spans="1:7" x14ac:dyDescent="0.5">
      <c r="A99" s="332" t="s">
        <v>152</v>
      </c>
      <c r="B99" s="332"/>
      <c r="C99" s="332"/>
      <c r="D99" s="332"/>
      <c r="E99" s="332"/>
      <c r="F99" s="332"/>
      <c r="G99" s="332"/>
    </row>
    <row r="100" spans="1:7" x14ac:dyDescent="0.5">
      <c r="A100" s="332" t="s">
        <v>153</v>
      </c>
      <c r="B100" s="332"/>
      <c r="C100" s="332"/>
      <c r="D100" s="332"/>
      <c r="E100" s="332"/>
      <c r="F100" s="332"/>
      <c r="G100" s="332"/>
    </row>
    <row r="101" spans="1:7" x14ac:dyDescent="0.5">
      <c r="A101" s="14"/>
      <c r="B101" s="14"/>
      <c r="C101" s="14"/>
      <c r="D101" s="14"/>
      <c r="E101" s="14"/>
      <c r="F101" s="14"/>
      <c r="G101" s="14"/>
    </row>
    <row r="102" spans="1:7" x14ac:dyDescent="0.5">
      <c r="A102" s="14"/>
      <c r="B102" s="332" t="s">
        <v>455</v>
      </c>
      <c r="C102" s="332"/>
      <c r="D102" s="332"/>
      <c r="E102" s="332"/>
      <c r="F102" s="14"/>
      <c r="G102" s="14"/>
    </row>
    <row r="103" spans="1:7" x14ac:dyDescent="0.5">
      <c r="A103" s="332" t="s">
        <v>979</v>
      </c>
      <c r="B103" s="332"/>
      <c r="C103" s="332"/>
      <c r="D103" s="332"/>
      <c r="E103" s="332"/>
      <c r="F103" s="332"/>
      <c r="G103" s="332"/>
    </row>
    <row r="104" spans="1:7" x14ac:dyDescent="0.5">
      <c r="A104" s="332" t="s">
        <v>980</v>
      </c>
      <c r="B104" s="332"/>
      <c r="C104" s="332"/>
      <c r="D104" s="332"/>
      <c r="E104" s="332"/>
      <c r="F104" s="332"/>
      <c r="G104" s="332"/>
    </row>
    <row r="105" spans="1:7" x14ac:dyDescent="0.5">
      <c r="A105" s="242"/>
      <c r="B105" s="242"/>
      <c r="C105" s="242"/>
      <c r="D105" s="242"/>
      <c r="E105" s="242"/>
      <c r="F105" s="242"/>
      <c r="G105" s="242"/>
    </row>
    <row r="106" spans="1:7" x14ac:dyDescent="0.5">
      <c r="A106" s="242"/>
      <c r="B106" s="242"/>
      <c r="C106" s="242"/>
      <c r="D106" s="242"/>
      <c r="E106" s="242"/>
      <c r="F106" s="242"/>
      <c r="G106" s="242"/>
    </row>
    <row r="110" spans="1:7" x14ac:dyDescent="0.5">
      <c r="A110" s="300" t="s">
        <v>117</v>
      </c>
      <c r="B110" s="300"/>
      <c r="C110" s="300"/>
      <c r="D110" s="300"/>
      <c r="E110" s="300"/>
      <c r="F110" s="300"/>
      <c r="G110" s="300"/>
    </row>
    <row r="111" spans="1:7" x14ac:dyDescent="0.5">
      <c r="A111" s="300" t="s">
        <v>47</v>
      </c>
      <c r="B111" s="300"/>
      <c r="C111" s="300"/>
      <c r="D111" s="300"/>
      <c r="E111" s="300"/>
      <c r="F111" s="300"/>
      <c r="G111" s="300"/>
    </row>
    <row r="112" spans="1:7" x14ac:dyDescent="0.5">
      <c r="A112" s="300" t="s">
        <v>993</v>
      </c>
      <c r="B112" s="300"/>
      <c r="C112" s="300"/>
      <c r="D112" s="300"/>
      <c r="E112" s="300"/>
      <c r="F112" s="300"/>
      <c r="G112" s="300"/>
    </row>
    <row r="113" spans="1:7" x14ac:dyDescent="0.5">
      <c r="A113" s="23" t="s">
        <v>37</v>
      </c>
      <c r="B113" s="23" t="s">
        <v>1</v>
      </c>
      <c r="C113" s="23" t="s">
        <v>25</v>
      </c>
      <c r="D113" s="23" t="s">
        <v>48</v>
      </c>
      <c r="E113" s="243" t="s">
        <v>49</v>
      </c>
      <c r="F113" s="23" t="s">
        <v>58</v>
      </c>
      <c r="G113" s="23" t="s">
        <v>50</v>
      </c>
    </row>
    <row r="114" spans="1:7" x14ac:dyDescent="0.5">
      <c r="A114" s="6" t="s">
        <v>51</v>
      </c>
      <c r="B114" s="5">
        <v>230102</v>
      </c>
      <c r="C114" s="2">
        <f>F78</f>
        <v>16966.349999999999</v>
      </c>
      <c r="D114" s="2">
        <v>48030.25</v>
      </c>
      <c r="E114" s="2">
        <v>16966.349999999999</v>
      </c>
      <c r="F114" s="3">
        <f>C114+D114-E114</f>
        <v>48030.25</v>
      </c>
      <c r="G114" s="7"/>
    </row>
    <row r="115" spans="1:7" x14ac:dyDescent="0.5">
      <c r="A115" s="6" t="s">
        <v>52</v>
      </c>
      <c r="B115" s="5">
        <v>230108</v>
      </c>
      <c r="C115" s="2">
        <f t="shared" ref="C115" si="8">F79</f>
        <v>2098875.25</v>
      </c>
      <c r="D115" s="2">
        <f>144540-125000</f>
        <v>19540</v>
      </c>
      <c r="E115" s="237">
        <v>9300</v>
      </c>
      <c r="F115" s="3">
        <f t="shared" ref="F115:F116" si="9">C115+D115-E115</f>
        <v>2109115.25</v>
      </c>
      <c r="G115" s="7"/>
    </row>
    <row r="116" spans="1:7" x14ac:dyDescent="0.5">
      <c r="A116" s="6" t="s">
        <v>1009</v>
      </c>
      <c r="B116" s="5"/>
      <c r="C116" s="2"/>
      <c r="D116" s="2">
        <f>125000</f>
        <v>125000</v>
      </c>
      <c r="E116" s="237"/>
      <c r="F116" s="3">
        <f t="shared" si="9"/>
        <v>125000</v>
      </c>
      <c r="G116" s="7"/>
    </row>
    <row r="117" spans="1:7" x14ac:dyDescent="0.5">
      <c r="A117" s="6" t="s">
        <v>53</v>
      </c>
      <c r="B117" s="5">
        <v>230105</v>
      </c>
      <c r="C117" s="2">
        <f>F80</f>
        <v>22463.02</v>
      </c>
      <c r="D117" s="2">
        <v>361.9</v>
      </c>
      <c r="E117" s="237"/>
      <c r="F117" s="3">
        <f>C117+D117-E117</f>
        <v>22824.920000000002</v>
      </c>
      <c r="G117" s="7"/>
    </row>
    <row r="118" spans="1:7" x14ac:dyDescent="0.5">
      <c r="A118" s="6" t="s">
        <v>57</v>
      </c>
      <c r="B118" s="5">
        <v>230106</v>
      </c>
      <c r="C118" s="2">
        <f>F81</f>
        <v>14410.87</v>
      </c>
      <c r="D118" s="2"/>
      <c r="E118" s="237"/>
      <c r="F118" s="3">
        <f t="shared" ref="F118:F125" si="10">C118+D118-E118</f>
        <v>14410.87</v>
      </c>
      <c r="G118" s="7"/>
    </row>
    <row r="119" spans="1:7" x14ac:dyDescent="0.5">
      <c r="A119" s="6" t="s">
        <v>99</v>
      </c>
      <c r="B119" s="5"/>
      <c r="C119" s="2">
        <f>F82</f>
        <v>3343273.52</v>
      </c>
      <c r="D119" s="8"/>
      <c r="E119" s="9"/>
      <c r="F119" s="3">
        <f t="shared" si="10"/>
        <v>3343273.52</v>
      </c>
      <c r="G119" s="123"/>
    </row>
    <row r="120" spans="1:7" x14ac:dyDescent="0.5">
      <c r="A120" s="6" t="s">
        <v>166</v>
      </c>
      <c r="B120" s="238"/>
      <c r="C120" s="2">
        <f>F83</f>
        <v>7000</v>
      </c>
      <c r="D120" s="11"/>
      <c r="E120" s="11"/>
      <c r="F120" s="3">
        <f t="shared" si="10"/>
        <v>7000</v>
      </c>
      <c r="G120" s="12"/>
    </row>
    <row r="121" spans="1:7" x14ac:dyDescent="0.5">
      <c r="A121" s="6" t="s">
        <v>994</v>
      </c>
      <c r="B121" s="238"/>
      <c r="C121" s="2"/>
      <c r="D121" s="11">
        <v>9305</v>
      </c>
      <c r="E121" s="11"/>
      <c r="F121" s="3">
        <f t="shared" si="10"/>
        <v>9305</v>
      </c>
      <c r="G121" s="12"/>
    </row>
    <row r="122" spans="1:7" x14ac:dyDescent="0.5">
      <c r="A122" s="6" t="s">
        <v>995</v>
      </c>
      <c r="B122" s="238"/>
      <c r="C122" s="2"/>
      <c r="D122" s="11">
        <v>31470</v>
      </c>
      <c r="E122" s="11"/>
      <c r="F122" s="3">
        <f t="shared" si="10"/>
        <v>31470</v>
      </c>
      <c r="G122" s="12"/>
    </row>
    <row r="123" spans="1:7" x14ac:dyDescent="0.5">
      <c r="A123" s="6" t="s">
        <v>103</v>
      </c>
      <c r="B123" s="10"/>
      <c r="C123" s="2">
        <f t="shared" ref="C123:C130" si="11">F84</f>
        <v>0</v>
      </c>
      <c r="D123" s="11">
        <v>39747.25</v>
      </c>
      <c r="E123" s="11">
        <v>39747.25</v>
      </c>
      <c r="F123" s="3">
        <f t="shared" si="10"/>
        <v>0</v>
      </c>
      <c r="G123" s="12"/>
    </row>
    <row r="124" spans="1:7" x14ac:dyDescent="0.5">
      <c r="A124" s="6" t="s">
        <v>104</v>
      </c>
      <c r="B124" s="5"/>
      <c r="C124" s="2">
        <f t="shared" si="11"/>
        <v>0</v>
      </c>
      <c r="D124" s="8">
        <v>41489.83</v>
      </c>
      <c r="E124" s="8">
        <v>41489.83</v>
      </c>
      <c r="F124" s="3">
        <f t="shared" si="10"/>
        <v>0</v>
      </c>
      <c r="G124" s="7"/>
    </row>
    <row r="125" spans="1:7" x14ac:dyDescent="0.5">
      <c r="A125" s="6" t="s">
        <v>90</v>
      </c>
      <c r="B125" s="5"/>
      <c r="C125" s="2">
        <f t="shared" si="11"/>
        <v>0</v>
      </c>
      <c r="D125" s="8">
        <v>68300</v>
      </c>
      <c r="E125" s="8">
        <v>68300</v>
      </c>
      <c r="F125" s="3">
        <f t="shared" si="10"/>
        <v>0</v>
      </c>
      <c r="G125" s="7"/>
    </row>
    <row r="126" spans="1:7" x14ac:dyDescent="0.5">
      <c r="A126" s="6" t="s">
        <v>161</v>
      </c>
      <c r="B126" s="5"/>
      <c r="C126" s="2">
        <f t="shared" si="11"/>
        <v>0</v>
      </c>
      <c r="D126" s="8">
        <v>23800</v>
      </c>
      <c r="E126" s="8">
        <v>23800</v>
      </c>
      <c r="F126" s="3">
        <f>C126+D126-E126</f>
        <v>0</v>
      </c>
      <c r="G126" s="7"/>
    </row>
    <row r="127" spans="1:7" x14ac:dyDescent="0.5">
      <c r="A127" s="6" t="s">
        <v>162</v>
      </c>
      <c r="B127" s="5"/>
      <c r="C127" s="2">
        <f t="shared" si="11"/>
        <v>0</v>
      </c>
      <c r="D127" s="8">
        <v>225100</v>
      </c>
      <c r="E127" s="8">
        <v>225100</v>
      </c>
      <c r="F127" s="3">
        <f>C127+D127-E127</f>
        <v>0</v>
      </c>
      <c r="G127" s="7"/>
    </row>
    <row r="128" spans="1:7" x14ac:dyDescent="0.5">
      <c r="A128" s="6" t="s">
        <v>105</v>
      </c>
      <c r="B128" s="22"/>
      <c r="C128" s="2">
        <f t="shared" si="11"/>
        <v>0</v>
      </c>
      <c r="D128" s="22">
        <v>9400</v>
      </c>
      <c r="E128" s="22">
        <v>9400</v>
      </c>
      <c r="F128" s="3">
        <f>C128+D128-E128</f>
        <v>0</v>
      </c>
      <c r="G128" s="4"/>
    </row>
    <row r="129" spans="1:7" x14ac:dyDescent="0.5">
      <c r="A129" s="6" t="s">
        <v>124</v>
      </c>
      <c r="B129" s="10"/>
      <c r="C129" s="2">
        <f t="shared" si="11"/>
        <v>0</v>
      </c>
      <c r="D129" s="11">
        <v>54066</v>
      </c>
      <c r="E129" s="11">
        <v>54066</v>
      </c>
      <c r="F129" s="3">
        <f>C129+D129-E129</f>
        <v>0</v>
      </c>
      <c r="G129" s="12"/>
    </row>
    <row r="130" spans="1:7" x14ac:dyDescent="0.5">
      <c r="A130" s="6" t="s">
        <v>106</v>
      </c>
      <c r="B130" s="10"/>
      <c r="C130" s="2">
        <f t="shared" si="11"/>
        <v>0</v>
      </c>
      <c r="D130" s="11">
        <v>0</v>
      </c>
      <c r="E130" s="11">
        <v>0</v>
      </c>
      <c r="F130" s="3">
        <f>C130+D130-E130</f>
        <v>0</v>
      </c>
      <c r="G130" s="12"/>
    </row>
    <row r="131" spans="1:7" ht="24" thickBot="1" x14ac:dyDescent="0.55000000000000004">
      <c r="A131" s="46" t="s">
        <v>44</v>
      </c>
      <c r="B131" s="48"/>
      <c r="C131" s="49">
        <f>SUM(C114:C130)</f>
        <v>5502989.0099999998</v>
      </c>
      <c r="D131" s="26">
        <f>SUM(D114:D130)</f>
        <v>695610.23</v>
      </c>
      <c r="E131" s="50">
        <f>SUM(E114:E130)</f>
        <v>488169.43</v>
      </c>
      <c r="F131" s="51">
        <f>SUM(F114:F130)</f>
        <v>5710429.8100000005</v>
      </c>
      <c r="G131" s="52"/>
    </row>
    <row r="132" spans="1:7" ht="24" thickTop="1" x14ac:dyDescent="0.5">
      <c r="A132" s="15"/>
      <c r="B132" s="16"/>
      <c r="C132" s="16"/>
      <c r="D132" s="16"/>
      <c r="E132" s="16"/>
      <c r="F132" s="16"/>
      <c r="G132" s="17"/>
    </row>
    <row r="133" spans="1:7" x14ac:dyDescent="0.5">
      <c r="A133" s="14"/>
      <c r="B133" s="333" t="s">
        <v>453</v>
      </c>
      <c r="C133" s="333"/>
      <c r="D133" s="333"/>
      <c r="E133" s="333"/>
      <c r="F133" s="14"/>
      <c r="G133" s="14"/>
    </row>
    <row r="134" spans="1:7" x14ac:dyDescent="0.5">
      <c r="A134" s="332" t="s">
        <v>150</v>
      </c>
      <c r="B134" s="332"/>
      <c r="C134" s="332"/>
      <c r="D134" s="332"/>
      <c r="E134" s="332"/>
      <c r="F134" s="332"/>
      <c r="G134" s="332"/>
    </row>
    <row r="135" spans="1:7" x14ac:dyDescent="0.5">
      <c r="A135" s="332" t="s">
        <v>151</v>
      </c>
      <c r="B135" s="332"/>
      <c r="C135" s="332"/>
      <c r="D135" s="332"/>
      <c r="E135" s="332"/>
      <c r="F135" s="332"/>
      <c r="G135" s="332"/>
    </row>
    <row r="136" spans="1:7" x14ac:dyDescent="0.5">
      <c r="A136" s="14"/>
      <c r="B136" s="14"/>
      <c r="C136" s="14"/>
      <c r="D136" s="14"/>
      <c r="E136" s="14"/>
      <c r="F136" s="14"/>
      <c r="G136" s="14"/>
    </row>
    <row r="137" spans="1:7" x14ac:dyDescent="0.5">
      <c r="A137" s="14"/>
      <c r="B137" s="332" t="s">
        <v>454</v>
      </c>
      <c r="C137" s="332"/>
      <c r="D137" s="332"/>
      <c r="E137" s="332"/>
      <c r="F137" s="14"/>
      <c r="G137" s="14"/>
    </row>
    <row r="138" spans="1:7" x14ac:dyDescent="0.5">
      <c r="A138" s="332" t="s">
        <v>152</v>
      </c>
      <c r="B138" s="332"/>
      <c r="C138" s="332"/>
      <c r="D138" s="332"/>
      <c r="E138" s="332"/>
      <c r="F138" s="332"/>
      <c r="G138" s="332"/>
    </row>
    <row r="139" spans="1:7" x14ac:dyDescent="0.5">
      <c r="A139" s="332" t="s">
        <v>153</v>
      </c>
      <c r="B139" s="332"/>
      <c r="C139" s="332"/>
      <c r="D139" s="332"/>
      <c r="E139" s="332"/>
      <c r="F139" s="332"/>
      <c r="G139" s="332"/>
    </row>
    <row r="140" spans="1:7" x14ac:dyDescent="0.5">
      <c r="A140" s="14"/>
      <c r="B140" s="14"/>
      <c r="C140" s="14"/>
      <c r="D140" s="14"/>
      <c r="E140" s="14"/>
      <c r="F140" s="14"/>
      <c r="G140" s="14"/>
    </row>
    <row r="141" spans="1:7" x14ac:dyDescent="0.5">
      <c r="A141" s="14"/>
      <c r="B141" s="332" t="s">
        <v>455</v>
      </c>
      <c r="C141" s="332"/>
      <c r="D141" s="332"/>
      <c r="E141" s="332"/>
      <c r="F141" s="14"/>
      <c r="G141" s="14"/>
    </row>
    <row r="142" spans="1:7" x14ac:dyDescent="0.5">
      <c r="A142" s="332" t="s">
        <v>979</v>
      </c>
      <c r="B142" s="332"/>
      <c r="C142" s="332"/>
      <c r="D142" s="332"/>
      <c r="E142" s="332"/>
      <c r="F142" s="332"/>
      <c r="G142" s="332"/>
    </row>
    <row r="143" spans="1:7" x14ac:dyDescent="0.5">
      <c r="A143" s="332" t="s">
        <v>980</v>
      </c>
      <c r="B143" s="332"/>
      <c r="C143" s="332"/>
      <c r="D143" s="332"/>
      <c r="E143" s="332"/>
      <c r="F143" s="332"/>
      <c r="G143" s="332"/>
    </row>
    <row r="146" spans="1:8" x14ac:dyDescent="0.5">
      <c r="A146" s="300" t="s">
        <v>117</v>
      </c>
      <c r="B146" s="300"/>
      <c r="C146" s="300"/>
      <c r="D146" s="300"/>
      <c r="E146" s="300"/>
      <c r="F146" s="300"/>
      <c r="G146" s="300"/>
    </row>
    <row r="147" spans="1:8" x14ac:dyDescent="0.5">
      <c r="A147" s="300" t="s">
        <v>47</v>
      </c>
      <c r="B147" s="300"/>
      <c r="C147" s="300"/>
      <c r="D147" s="300"/>
      <c r="E147" s="300"/>
      <c r="F147" s="300"/>
      <c r="G147" s="300"/>
    </row>
    <row r="148" spans="1:8" x14ac:dyDescent="0.5">
      <c r="A148" s="300" t="s">
        <v>1018</v>
      </c>
      <c r="B148" s="300"/>
      <c r="C148" s="300"/>
      <c r="D148" s="300"/>
      <c r="E148" s="300"/>
      <c r="F148" s="300"/>
      <c r="G148" s="300"/>
    </row>
    <row r="149" spans="1:8" x14ac:dyDescent="0.5">
      <c r="A149" s="23" t="s">
        <v>37</v>
      </c>
      <c r="B149" s="23" t="s">
        <v>1</v>
      </c>
      <c r="C149" s="23" t="s">
        <v>25</v>
      </c>
      <c r="D149" s="23" t="s">
        <v>48</v>
      </c>
      <c r="E149" s="252" t="s">
        <v>49</v>
      </c>
      <c r="F149" s="23" t="s">
        <v>58</v>
      </c>
      <c r="G149" s="23" t="s">
        <v>50</v>
      </c>
    </row>
    <row r="150" spans="1:8" x14ac:dyDescent="0.5">
      <c r="A150" s="6" t="s">
        <v>51</v>
      </c>
      <c r="B150" s="5">
        <v>230102</v>
      </c>
      <c r="C150" s="2">
        <f>F114</f>
        <v>48030.25</v>
      </c>
      <c r="D150" s="2">
        <v>22130.23</v>
      </c>
      <c r="E150" s="2">
        <v>48030.25</v>
      </c>
      <c r="F150" s="3">
        <f>C150+D150-E150</f>
        <v>22130.229999999996</v>
      </c>
      <c r="G150" s="7"/>
    </row>
    <row r="151" spans="1:8" x14ac:dyDescent="0.5">
      <c r="A151" s="6" t="s">
        <v>52</v>
      </c>
      <c r="B151" s="5">
        <v>230108</v>
      </c>
      <c r="C151" s="2">
        <f t="shared" ref="C151:C158" si="12">F115</f>
        <v>2109115.25</v>
      </c>
      <c r="D151" s="2">
        <v>16750</v>
      </c>
      <c r="E151" s="247">
        <v>37700</v>
      </c>
      <c r="F151" s="3">
        <f t="shared" ref="F151:F152" si="13">C151+D151-E151</f>
        <v>2088165.25</v>
      </c>
      <c r="G151" s="7"/>
      <c r="H151" s="71"/>
    </row>
    <row r="152" spans="1:8" x14ac:dyDescent="0.5">
      <c r="A152" s="6" t="s">
        <v>1009</v>
      </c>
      <c r="B152" s="5"/>
      <c r="C152" s="2">
        <f t="shared" si="12"/>
        <v>125000</v>
      </c>
      <c r="D152" s="2"/>
      <c r="E152" s="247">
        <v>125000</v>
      </c>
      <c r="F152" s="3">
        <f t="shared" si="13"/>
        <v>0</v>
      </c>
      <c r="G152" s="7"/>
    </row>
    <row r="153" spans="1:8" x14ac:dyDescent="0.5">
      <c r="A153" s="6" t="s">
        <v>53</v>
      </c>
      <c r="B153" s="5">
        <v>230105</v>
      </c>
      <c r="C153" s="2">
        <f t="shared" si="12"/>
        <v>22824.920000000002</v>
      </c>
      <c r="D153" s="2">
        <f>265.4-0.05</f>
        <v>265.34999999999997</v>
      </c>
      <c r="E153" s="247"/>
      <c r="F153" s="3">
        <f>C153+D153-E153</f>
        <v>23090.27</v>
      </c>
      <c r="G153" s="7"/>
    </row>
    <row r="154" spans="1:8" x14ac:dyDescent="0.5">
      <c r="A154" s="6" t="s">
        <v>57</v>
      </c>
      <c r="B154" s="5">
        <v>230106</v>
      </c>
      <c r="C154" s="2">
        <f t="shared" si="12"/>
        <v>14410.87</v>
      </c>
      <c r="D154" s="2"/>
      <c r="E154" s="247"/>
      <c r="F154" s="3">
        <f t="shared" ref="F154:F162" si="14">C154+D154-E154</f>
        <v>14410.87</v>
      </c>
      <c r="G154" s="7"/>
    </row>
    <row r="155" spans="1:8" x14ac:dyDescent="0.5">
      <c r="A155" s="6" t="s">
        <v>99</v>
      </c>
      <c r="B155" s="5"/>
      <c r="C155" s="2">
        <f t="shared" si="12"/>
        <v>3343273.52</v>
      </c>
      <c r="D155" s="8"/>
      <c r="E155" s="9">
        <v>260000</v>
      </c>
      <c r="F155" s="262">
        <f t="shared" si="14"/>
        <v>3083273.52</v>
      </c>
      <c r="G155" s="123"/>
    </row>
    <row r="156" spans="1:8" x14ac:dyDescent="0.5">
      <c r="A156" s="6" t="s">
        <v>166</v>
      </c>
      <c r="B156" s="248"/>
      <c r="C156" s="2">
        <f t="shared" si="12"/>
        <v>7000</v>
      </c>
      <c r="D156" s="11"/>
      <c r="E156" s="11"/>
      <c r="F156" s="3">
        <f t="shared" si="14"/>
        <v>7000</v>
      </c>
      <c r="G156" s="12"/>
    </row>
    <row r="157" spans="1:8" x14ac:dyDescent="0.5">
      <c r="A157" s="6" t="s">
        <v>994</v>
      </c>
      <c r="B157" s="248"/>
      <c r="C157" s="2">
        <f t="shared" si="12"/>
        <v>9305</v>
      </c>
      <c r="D157" s="11"/>
      <c r="E157" s="11">
        <v>6700</v>
      </c>
      <c r="F157" s="3">
        <f t="shared" si="14"/>
        <v>2605</v>
      </c>
      <c r="G157" s="12"/>
    </row>
    <row r="158" spans="1:8" x14ac:dyDescent="0.5">
      <c r="A158" s="6" t="s">
        <v>995</v>
      </c>
      <c r="B158" s="248"/>
      <c r="C158" s="2">
        <f t="shared" si="12"/>
        <v>31470</v>
      </c>
      <c r="D158" s="11">
        <v>31470</v>
      </c>
      <c r="E158" s="11">
        <v>31470</v>
      </c>
      <c r="F158" s="3">
        <f t="shared" si="14"/>
        <v>31470</v>
      </c>
      <c r="G158" s="12"/>
    </row>
    <row r="159" spans="1:8" x14ac:dyDescent="0.5">
      <c r="A159" s="6" t="s">
        <v>1019</v>
      </c>
      <c r="B159" s="10"/>
      <c r="C159" s="2"/>
      <c r="D159" s="11">
        <v>86110.75</v>
      </c>
      <c r="E159" s="11">
        <v>86110.75</v>
      </c>
      <c r="F159" s="3">
        <f t="shared" ref="F159" si="15">C159+D159-E159</f>
        <v>0</v>
      </c>
      <c r="G159" s="12"/>
    </row>
    <row r="160" spans="1:8" x14ac:dyDescent="0.5">
      <c r="A160" s="6" t="s">
        <v>103</v>
      </c>
      <c r="B160" s="10"/>
      <c r="C160" s="2">
        <f t="shared" ref="C160:C167" si="16">F123</f>
        <v>0</v>
      </c>
      <c r="D160" s="11">
        <v>32590</v>
      </c>
      <c r="E160" s="11">
        <v>32590</v>
      </c>
      <c r="F160" s="3">
        <f t="shared" si="14"/>
        <v>0</v>
      </c>
      <c r="G160" s="12"/>
    </row>
    <row r="161" spans="1:7" x14ac:dyDescent="0.5">
      <c r="A161" s="6" t="s">
        <v>104</v>
      </c>
      <c r="B161" s="5"/>
      <c r="C161" s="2">
        <f t="shared" si="16"/>
        <v>0</v>
      </c>
      <c r="D161" s="8">
        <v>38635.99</v>
      </c>
      <c r="E161" s="8">
        <v>38635.99</v>
      </c>
      <c r="F161" s="3">
        <f t="shared" si="14"/>
        <v>0</v>
      </c>
      <c r="G161" s="7"/>
    </row>
    <row r="162" spans="1:7" x14ac:dyDescent="0.5">
      <c r="A162" s="6" t="s">
        <v>90</v>
      </c>
      <c r="B162" s="5"/>
      <c r="C162" s="2">
        <f t="shared" si="16"/>
        <v>0</v>
      </c>
      <c r="D162" s="8">
        <v>68300</v>
      </c>
      <c r="E162" s="8">
        <v>68300</v>
      </c>
      <c r="F162" s="3">
        <f t="shared" si="14"/>
        <v>0</v>
      </c>
      <c r="G162" s="7"/>
    </row>
    <row r="163" spans="1:7" x14ac:dyDescent="0.5">
      <c r="A163" s="6" t="s">
        <v>161</v>
      </c>
      <c r="B163" s="5"/>
      <c r="C163" s="2">
        <f t="shared" si="16"/>
        <v>0</v>
      </c>
      <c r="D163" s="8">
        <v>23800</v>
      </c>
      <c r="E163" s="8">
        <v>23800</v>
      </c>
      <c r="F163" s="3">
        <f>C163+D163-E163</f>
        <v>0</v>
      </c>
      <c r="G163" s="7"/>
    </row>
    <row r="164" spans="1:7" x14ac:dyDescent="0.5">
      <c r="A164" s="6" t="s">
        <v>162</v>
      </c>
      <c r="B164" s="5"/>
      <c r="C164" s="2">
        <f t="shared" si="16"/>
        <v>0</v>
      </c>
      <c r="D164" s="8">
        <v>219926</v>
      </c>
      <c r="E164" s="8">
        <v>219926</v>
      </c>
      <c r="F164" s="3">
        <f>C164+D164-E164</f>
        <v>0</v>
      </c>
      <c r="G164" s="7"/>
    </row>
    <row r="165" spans="1:7" x14ac:dyDescent="0.5">
      <c r="A165" s="6" t="s">
        <v>105</v>
      </c>
      <c r="B165" s="22"/>
      <c r="C165" s="2">
        <f t="shared" si="16"/>
        <v>0</v>
      </c>
      <c r="D165" s="22">
        <v>9400</v>
      </c>
      <c r="E165" s="22">
        <v>9400</v>
      </c>
      <c r="F165" s="3">
        <f>C165+D165-E165</f>
        <v>0</v>
      </c>
      <c r="G165" s="4"/>
    </row>
    <row r="166" spans="1:7" x14ac:dyDescent="0.5">
      <c r="A166" s="6" t="s">
        <v>124</v>
      </c>
      <c r="B166" s="10"/>
      <c r="C166" s="2">
        <f t="shared" si="16"/>
        <v>0</v>
      </c>
      <c r="D166" s="11">
        <v>54080</v>
      </c>
      <c r="E166" s="11">
        <v>54080</v>
      </c>
      <c r="F166" s="3">
        <f>C166+D166-E166</f>
        <v>0</v>
      </c>
      <c r="G166" s="12"/>
    </row>
    <row r="167" spans="1:7" x14ac:dyDescent="0.5">
      <c r="A167" s="6" t="s">
        <v>106</v>
      </c>
      <c r="B167" s="10"/>
      <c r="C167" s="2">
        <f t="shared" si="16"/>
        <v>0</v>
      </c>
      <c r="D167" s="11">
        <v>354</v>
      </c>
      <c r="E167" s="11">
        <v>354</v>
      </c>
      <c r="F167" s="3">
        <f>C167+D167-E167</f>
        <v>0</v>
      </c>
      <c r="G167" s="12"/>
    </row>
    <row r="168" spans="1:7" ht="24" thickBot="1" x14ac:dyDescent="0.55000000000000004">
      <c r="A168" s="46" t="s">
        <v>44</v>
      </c>
      <c r="B168" s="48"/>
      <c r="C168" s="49">
        <f>SUM(C150:C167)</f>
        <v>5710429.8100000005</v>
      </c>
      <c r="D168" s="26">
        <f>SUM(D150:D167)</f>
        <v>603812.31999999995</v>
      </c>
      <c r="E168" s="50">
        <f>SUM(E150:E167)</f>
        <v>1042096.99</v>
      </c>
      <c r="F168" s="51">
        <f>SUM(F150:F167)</f>
        <v>5272145.1400000006</v>
      </c>
      <c r="G168" s="52"/>
    </row>
    <row r="169" spans="1:7" ht="24" thickTop="1" x14ac:dyDescent="0.5">
      <c r="A169" s="15"/>
      <c r="B169" s="16"/>
      <c r="C169" s="16"/>
      <c r="D169" s="16"/>
      <c r="E169" s="16"/>
      <c r="F169" s="16"/>
      <c r="G169" s="17"/>
    </row>
    <row r="170" spans="1:7" x14ac:dyDescent="0.5">
      <c r="A170" s="14"/>
      <c r="B170" s="333" t="s">
        <v>453</v>
      </c>
      <c r="C170" s="333"/>
      <c r="D170" s="333"/>
      <c r="E170" s="333"/>
      <c r="F170" s="14"/>
      <c r="G170" s="14"/>
    </row>
    <row r="171" spans="1:7" x14ac:dyDescent="0.5">
      <c r="A171" s="332" t="s">
        <v>150</v>
      </c>
      <c r="B171" s="332"/>
      <c r="C171" s="332"/>
      <c r="D171" s="332"/>
      <c r="E171" s="332"/>
      <c r="F171" s="332"/>
      <c r="G171" s="332"/>
    </row>
    <row r="172" spans="1:7" x14ac:dyDescent="0.5">
      <c r="A172" s="332" t="s">
        <v>151</v>
      </c>
      <c r="B172" s="332"/>
      <c r="C172" s="332"/>
      <c r="D172" s="332"/>
      <c r="E172" s="332"/>
      <c r="F172" s="332"/>
      <c r="G172" s="332"/>
    </row>
    <row r="173" spans="1:7" x14ac:dyDescent="0.5">
      <c r="A173" s="14"/>
      <c r="B173" s="14"/>
      <c r="C173" s="14"/>
      <c r="D173" s="14"/>
      <c r="E173" s="14"/>
      <c r="F173" s="14"/>
      <c r="G173" s="14"/>
    </row>
    <row r="174" spans="1:7" x14ac:dyDescent="0.5">
      <c r="A174" s="14"/>
      <c r="B174" s="332" t="s">
        <v>454</v>
      </c>
      <c r="C174" s="332"/>
      <c r="D174" s="332"/>
      <c r="E174" s="332"/>
      <c r="F174" s="14"/>
      <c r="G174" s="14"/>
    </row>
    <row r="175" spans="1:7" x14ac:dyDescent="0.5">
      <c r="A175" s="332" t="s">
        <v>152</v>
      </c>
      <c r="B175" s="332"/>
      <c r="C175" s="332"/>
      <c r="D175" s="332"/>
      <c r="E175" s="332"/>
      <c r="F175" s="332"/>
      <c r="G175" s="332"/>
    </row>
    <row r="176" spans="1:7" x14ac:dyDescent="0.5">
      <c r="A176" s="332" t="s">
        <v>153</v>
      </c>
      <c r="B176" s="332"/>
      <c r="C176" s="332"/>
      <c r="D176" s="332"/>
      <c r="E176" s="332"/>
      <c r="F176" s="332"/>
      <c r="G176" s="332"/>
    </row>
    <row r="177" spans="1:7" x14ac:dyDescent="0.5">
      <c r="A177" s="14"/>
      <c r="B177" s="14"/>
      <c r="C177" s="14"/>
      <c r="D177" s="14"/>
      <c r="E177" s="14"/>
      <c r="F177" s="14"/>
      <c r="G177" s="14"/>
    </row>
    <row r="178" spans="1:7" x14ac:dyDescent="0.5">
      <c r="A178" s="14"/>
      <c r="B178" s="332" t="s">
        <v>455</v>
      </c>
      <c r="C178" s="332"/>
      <c r="D178" s="332"/>
      <c r="E178" s="332"/>
      <c r="F178" s="14"/>
      <c r="G178" s="14"/>
    </row>
    <row r="179" spans="1:7" x14ac:dyDescent="0.5">
      <c r="A179" s="332" t="s">
        <v>979</v>
      </c>
      <c r="B179" s="332"/>
      <c r="C179" s="332"/>
      <c r="D179" s="332"/>
      <c r="E179" s="332"/>
      <c r="F179" s="332"/>
      <c r="G179" s="332"/>
    </row>
    <row r="180" spans="1:7" x14ac:dyDescent="0.5">
      <c r="A180" s="332" t="s">
        <v>980</v>
      </c>
      <c r="B180" s="332"/>
      <c r="C180" s="332"/>
      <c r="D180" s="332"/>
      <c r="E180" s="332"/>
      <c r="F180" s="332"/>
      <c r="G180" s="332"/>
    </row>
  </sheetData>
  <mergeCells count="60">
    <mergeCell ref="A179:G179"/>
    <mergeCell ref="A180:G180"/>
    <mergeCell ref="A172:G172"/>
    <mergeCell ref="B174:E174"/>
    <mergeCell ref="A175:G175"/>
    <mergeCell ref="A176:G176"/>
    <mergeCell ref="B178:E178"/>
    <mergeCell ref="A146:G146"/>
    <mergeCell ref="A147:G147"/>
    <mergeCell ref="A148:G148"/>
    <mergeCell ref="B170:E170"/>
    <mergeCell ref="A171:G171"/>
    <mergeCell ref="A142:G142"/>
    <mergeCell ref="A143:G143"/>
    <mergeCell ref="A135:G135"/>
    <mergeCell ref="B137:E137"/>
    <mergeCell ref="A138:G138"/>
    <mergeCell ref="A139:G139"/>
    <mergeCell ref="B141:E141"/>
    <mergeCell ref="A110:G110"/>
    <mergeCell ref="A111:G111"/>
    <mergeCell ref="A112:G112"/>
    <mergeCell ref="B133:E133"/>
    <mergeCell ref="A134:G134"/>
    <mergeCell ref="A66:G66"/>
    <mergeCell ref="A67:G67"/>
    <mergeCell ref="A59:G59"/>
    <mergeCell ref="B61:E61"/>
    <mergeCell ref="A62:G62"/>
    <mergeCell ref="A63:G63"/>
    <mergeCell ref="B65:E65"/>
    <mergeCell ref="A37:G37"/>
    <mergeCell ref="A38:G38"/>
    <mergeCell ref="A39:G39"/>
    <mergeCell ref="B57:E57"/>
    <mergeCell ref="A58:G58"/>
    <mergeCell ref="B31:E31"/>
    <mergeCell ref="A32:G32"/>
    <mergeCell ref="A33:G33"/>
    <mergeCell ref="A3:G3"/>
    <mergeCell ref="A4:G4"/>
    <mergeCell ref="A5:G5"/>
    <mergeCell ref="B23:E23"/>
    <mergeCell ref="A24:G24"/>
    <mergeCell ref="A25:G25"/>
    <mergeCell ref="B27:E27"/>
    <mergeCell ref="A28:G28"/>
    <mergeCell ref="A29:G29"/>
    <mergeCell ref="A74:G74"/>
    <mergeCell ref="A75:G75"/>
    <mergeCell ref="A76:G76"/>
    <mergeCell ref="B94:E94"/>
    <mergeCell ref="A95:G95"/>
    <mergeCell ref="A103:G103"/>
    <mergeCell ref="A104:G104"/>
    <mergeCell ref="A96:G96"/>
    <mergeCell ref="B98:E98"/>
    <mergeCell ref="A99:G99"/>
    <mergeCell ref="A100:G100"/>
    <mergeCell ref="B102:E102"/>
  </mergeCells>
  <phoneticPr fontId="2" type="noConversion"/>
  <pageMargins left="0.39370078740157483" right="7.874015748031496E-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6"/>
  <sheetViews>
    <sheetView topLeftCell="A259" workbookViewId="0">
      <selection sqref="A1:J273"/>
    </sheetView>
  </sheetViews>
  <sheetFormatPr defaultRowHeight="18" x14ac:dyDescent="0.4"/>
  <cols>
    <col min="1" max="1" width="6.59765625" customWidth="1"/>
    <col min="2" max="2" width="21" customWidth="1"/>
    <col min="3" max="3" width="20" customWidth="1"/>
    <col min="4" max="4" width="19.19921875" customWidth="1"/>
    <col min="5" max="5" width="5.59765625" customWidth="1"/>
    <col min="6" max="6" width="16.19921875" customWidth="1"/>
    <col min="7" max="7" width="5" customWidth="1"/>
    <col min="8" max="8" width="15.3984375" customWidth="1"/>
    <col min="9" max="9" width="5.59765625" customWidth="1"/>
    <col min="10" max="10" width="15.19921875" customWidth="1"/>
    <col min="12" max="12" width="12.19921875" bestFit="1" customWidth="1"/>
  </cols>
  <sheetData>
    <row r="1" spans="1:10" ht="23.25" x14ac:dyDescent="0.5">
      <c r="A1" s="300" t="s">
        <v>336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23.25" x14ac:dyDescent="0.5">
      <c r="A2" s="300" t="s">
        <v>1014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23.25" x14ac:dyDescent="0.5">
      <c r="A3" s="340" t="s">
        <v>1021</v>
      </c>
      <c r="B3" s="340"/>
      <c r="C3" s="340"/>
      <c r="D3" s="340"/>
      <c r="E3" s="340"/>
      <c r="F3" s="340"/>
      <c r="G3" s="340"/>
      <c r="H3" s="340"/>
      <c r="I3" s="340"/>
      <c r="J3" s="340"/>
    </row>
    <row r="4" spans="1:10" ht="21" x14ac:dyDescent="0.45">
      <c r="A4" s="201" t="s">
        <v>184</v>
      </c>
      <c r="B4" s="203" t="s">
        <v>337</v>
      </c>
      <c r="C4" s="204"/>
      <c r="D4" s="255" t="s">
        <v>163</v>
      </c>
      <c r="E4" s="255"/>
      <c r="F4" s="255" t="s">
        <v>165</v>
      </c>
      <c r="G4" s="255"/>
      <c r="H4" s="255" t="s">
        <v>164</v>
      </c>
      <c r="I4" s="255"/>
      <c r="J4" s="201" t="s">
        <v>50</v>
      </c>
    </row>
    <row r="5" spans="1:10" ht="21" x14ac:dyDescent="0.45">
      <c r="A5" s="202"/>
      <c r="B5" s="205"/>
      <c r="C5" s="206"/>
      <c r="D5" s="255" t="s">
        <v>177</v>
      </c>
      <c r="E5" s="255" t="s">
        <v>339</v>
      </c>
      <c r="F5" s="255" t="s">
        <v>177</v>
      </c>
      <c r="G5" s="255" t="s">
        <v>339</v>
      </c>
      <c r="H5" s="255" t="s">
        <v>177</v>
      </c>
      <c r="I5" s="255" t="s">
        <v>339</v>
      </c>
      <c r="J5" s="202"/>
    </row>
    <row r="6" spans="1:10" ht="21" x14ac:dyDescent="0.45">
      <c r="A6" s="334" t="s">
        <v>338</v>
      </c>
      <c r="B6" s="335"/>
      <c r="C6" s="336"/>
      <c r="D6" s="156"/>
      <c r="E6" s="156"/>
      <c r="F6" s="156"/>
      <c r="G6" s="156"/>
      <c r="H6" s="156"/>
      <c r="I6" s="156"/>
      <c r="J6" s="157"/>
    </row>
    <row r="7" spans="1:10" ht="23.25" x14ac:dyDescent="0.5">
      <c r="A7" s="167">
        <v>1</v>
      </c>
      <c r="B7" s="168" t="s">
        <v>923</v>
      </c>
      <c r="C7" s="169" t="s">
        <v>946</v>
      </c>
      <c r="D7" s="161">
        <v>2370</v>
      </c>
      <c r="E7" s="162"/>
      <c r="F7" s="162"/>
      <c r="G7" s="162"/>
      <c r="H7" s="162"/>
      <c r="I7" s="162"/>
      <c r="J7" s="163"/>
    </row>
    <row r="8" spans="1:10" ht="23.25" x14ac:dyDescent="0.5">
      <c r="A8" s="159">
        <v>2</v>
      </c>
      <c r="B8" s="160" t="s">
        <v>924</v>
      </c>
      <c r="C8" s="89" t="s">
        <v>823</v>
      </c>
      <c r="D8" s="161">
        <v>2500</v>
      </c>
      <c r="E8" s="162"/>
      <c r="F8" s="162"/>
      <c r="G8" s="162"/>
      <c r="H8" s="162"/>
      <c r="I8" s="162"/>
      <c r="J8" s="163"/>
    </row>
    <row r="9" spans="1:10" ht="23.25" x14ac:dyDescent="0.5">
      <c r="A9" s="159">
        <v>3</v>
      </c>
      <c r="B9" s="160" t="s">
        <v>925</v>
      </c>
      <c r="C9" s="89" t="s">
        <v>947</v>
      </c>
      <c r="D9" s="161">
        <v>495</v>
      </c>
      <c r="E9" s="162"/>
      <c r="F9" s="162"/>
      <c r="G9" s="162"/>
      <c r="H9" s="162"/>
      <c r="I9" s="162"/>
      <c r="J9" s="163"/>
    </row>
    <row r="10" spans="1:10" ht="23.25" x14ac:dyDescent="0.5">
      <c r="A10" s="159">
        <v>4</v>
      </c>
      <c r="B10" s="160" t="s">
        <v>340</v>
      </c>
      <c r="C10" s="89"/>
      <c r="D10" s="164" t="s">
        <v>967</v>
      </c>
      <c r="E10" s="162"/>
      <c r="F10" s="161">
        <v>62182</v>
      </c>
      <c r="G10" s="162"/>
      <c r="H10" s="161"/>
      <c r="I10" s="162"/>
      <c r="J10" s="163"/>
    </row>
    <row r="11" spans="1:10" ht="23.25" x14ac:dyDescent="0.5">
      <c r="A11" s="159">
        <v>5</v>
      </c>
      <c r="B11" s="160" t="s">
        <v>926</v>
      </c>
      <c r="C11" s="89" t="s">
        <v>562</v>
      </c>
      <c r="D11" s="161">
        <v>22275</v>
      </c>
      <c r="E11" s="162"/>
      <c r="F11" s="162"/>
      <c r="G11" s="162"/>
      <c r="H11" s="162"/>
      <c r="I11" s="162"/>
      <c r="J11" s="163"/>
    </row>
    <row r="12" spans="1:10" ht="23.25" x14ac:dyDescent="0.5">
      <c r="A12" s="159">
        <v>6</v>
      </c>
      <c r="B12" s="160" t="s">
        <v>927</v>
      </c>
      <c r="C12" s="89" t="s">
        <v>948</v>
      </c>
      <c r="D12" s="162"/>
      <c r="E12" s="162"/>
      <c r="F12" s="161">
        <v>800</v>
      </c>
      <c r="G12" s="162"/>
      <c r="H12" s="161"/>
      <c r="I12" s="162"/>
      <c r="J12" s="163"/>
    </row>
    <row r="13" spans="1:10" ht="23.25" x14ac:dyDescent="0.5">
      <c r="A13" s="176">
        <v>7</v>
      </c>
      <c r="B13" s="177" t="s">
        <v>928</v>
      </c>
      <c r="C13" s="178" t="s">
        <v>949</v>
      </c>
      <c r="D13" s="180"/>
      <c r="E13" s="181"/>
      <c r="F13" s="180">
        <v>400</v>
      </c>
      <c r="G13" s="181"/>
      <c r="H13" s="180"/>
      <c r="I13" s="181"/>
      <c r="J13" s="193"/>
    </row>
    <row r="14" spans="1:10" ht="24" thickBot="1" x14ac:dyDescent="0.55000000000000004">
      <c r="A14" s="189"/>
      <c r="B14" s="190" t="s">
        <v>341</v>
      </c>
      <c r="C14" s="190"/>
      <c r="D14" s="158">
        <f>SUM(D7:D13)</f>
        <v>27640</v>
      </c>
      <c r="E14" s="191"/>
      <c r="F14" s="158">
        <f>SUM(F7:F13)</f>
        <v>63382</v>
      </c>
      <c r="G14" s="191"/>
      <c r="H14" s="158" t="s">
        <v>968</v>
      </c>
      <c r="I14" s="191"/>
      <c r="J14" s="192"/>
    </row>
    <row r="15" spans="1:10" ht="21.75" thickTop="1" x14ac:dyDescent="0.45">
      <c r="A15" s="341" t="s">
        <v>342</v>
      </c>
      <c r="B15" s="342"/>
      <c r="C15" s="343"/>
      <c r="D15" s="185"/>
      <c r="E15" s="186"/>
      <c r="F15" s="186"/>
      <c r="G15" s="186"/>
      <c r="H15" s="187"/>
      <c r="I15" s="186"/>
      <c r="J15" s="188"/>
    </row>
    <row r="16" spans="1:10" ht="21" x14ac:dyDescent="0.45">
      <c r="A16" s="167">
        <v>1</v>
      </c>
      <c r="B16" s="168" t="s">
        <v>900</v>
      </c>
      <c r="C16" s="169" t="s">
        <v>568</v>
      </c>
      <c r="D16" s="161">
        <v>2370</v>
      </c>
      <c r="E16" s="162"/>
      <c r="F16" s="162"/>
      <c r="G16" s="162"/>
      <c r="H16" s="162"/>
      <c r="I16" s="162"/>
      <c r="J16" s="159"/>
    </row>
    <row r="17" spans="1:10" ht="21" x14ac:dyDescent="0.45">
      <c r="A17" s="159">
        <v>2</v>
      </c>
      <c r="B17" s="160" t="s">
        <v>929</v>
      </c>
      <c r="C17" s="89" t="s">
        <v>950</v>
      </c>
      <c r="D17" s="161"/>
      <c r="E17" s="162"/>
      <c r="F17" s="161">
        <v>400</v>
      </c>
      <c r="G17" s="162"/>
      <c r="H17" s="161"/>
      <c r="I17" s="162"/>
      <c r="J17" s="159"/>
    </row>
    <row r="18" spans="1:10" ht="21" x14ac:dyDescent="0.45">
      <c r="A18" s="159">
        <v>3</v>
      </c>
      <c r="B18" s="160" t="s">
        <v>930</v>
      </c>
      <c r="C18" s="89" t="s">
        <v>951</v>
      </c>
      <c r="D18" s="161"/>
      <c r="E18" s="162"/>
      <c r="F18" s="161">
        <v>200</v>
      </c>
      <c r="G18" s="162"/>
      <c r="H18" s="161"/>
      <c r="I18" s="162"/>
      <c r="J18" s="159"/>
    </row>
    <row r="19" spans="1:10" ht="21" x14ac:dyDescent="0.45">
      <c r="A19" s="159">
        <v>4</v>
      </c>
      <c r="B19" s="160" t="s">
        <v>931</v>
      </c>
      <c r="C19" s="89" t="s">
        <v>559</v>
      </c>
      <c r="D19" s="161">
        <v>15910</v>
      </c>
      <c r="E19" s="162"/>
      <c r="F19" s="161"/>
      <c r="G19" s="162"/>
      <c r="H19" s="161"/>
      <c r="I19" s="162"/>
      <c r="J19" s="159"/>
    </row>
    <row r="20" spans="1:10" ht="21" x14ac:dyDescent="0.45">
      <c r="A20" s="159">
        <v>5</v>
      </c>
      <c r="B20" s="160" t="s">
        <v>932</v>
      </c>
      <c r="C20" s="89" t="s">
        <v>949</v>
      </c>
      <c r="D20" s="161"/>
      <c r="E20" s="162"/>
      <c r="F20" s="161">
        <v>400</v>
      </c>
      <c r="G20" s="162"/>
      <c r="H20" s="161"/>
      <c r="I20" s="162"/>
      <c r="J20" s="159"/>
    </row>
    <row r="21" spans="1:10" ht="21" x14ac:dyDescent="0.45">
      <c r="A21" s="159">
        <v>6</v>
      </c>
      <c r="B21" s="160" t="s">
        <v>933</v>
      </c>
      <c r="C21" s="89" t="s">
        <v>952</v>
      </c>
      <c r="D21" s="161"/>
      <c r="E21" s="162"/>
      <c r="F21" s="161">
        <v>400</v>
      </c>
      <c r="G21" s="162"/>
      <c r="H21" s="161"/>
      <c r="I21" s="162"/>
      <c r="J21" s="159"/>
    </row>
    <row r="22" spans="1:10" ht="21" x14ac:dyDescent="0.45">
      <c r="A22" s="159">
        <v>7</v>
      </c>
      <c r="B22" s="160" t="s">
        <v>934</v>
      </c>
      <c r="C22" s="89" t="s">
        <v>953</v>
      </c>
      <c r="D22" s="161">
        <v>2000</v>
      </c>
      <c r="E22" s="162"/>
      <c r="F22" s="161"/>
      <c r="G22" s="162"/>
      <c r="H22" s="161"/>
      <c r="I22" s="162"/>
      <c r="J22" s="159"/>
    </row>
    <row r="23" spans="1:10" ht="21" x14ac:dyDescent="0.45">
      <c r="A23" s="159">
        <v>8</v>
      </c>
      <c r="B23" s="160" t="s">
        <v>935</v>
      </c>
      <c r="C23" s="89" t="s">
        <v>954</v>
      </c>
      <c r="D23" s="161"/>
      <c r="E23" s="162"/>
      <c r="F23" s="161">
        <v>800</v>
      </c>
      <c r="G23" s="162"/>
      <c r="H23" s="161"/>
      <c r="I23" s="162"/>
      <c r="J23" s="159"/>
    </row>
    <row r="24" spans="1:10" ht="21" x14ac:dyDescent="0.45">
      <c r="A24" s="159">
        <v>9</v>
      </c>
      <c r="B24" s="160" t="s">
        <v>912</v>
      </c>
      <c r="C24" s="89" t="s">
        <v>558</v>
      </c>
      <c r="D24" s="161">
        <v>2000</v>
      </c>
      <c r="E24" s="162"/>
      <c r="F24" s="161"/>
      <c r="G24" s="162"/>
      <c r="H24" s="161"/>
      <c r="I24" s="162"/>
      <c r="J24" s="159"/>
    </row>
    <row r="25" spans="1:10" ht="21" x14ac:dyDescent="0.45">
      <c r="A25" s="159">
        <v>10</v>
      </c>
      <c r="B25" s="160" t="s">
        <v>927</v>
      </c>
      <c r="C25" s="89" t="s">
        <v>948</v>
      </c>
      <c r="D25" s="161"/>
      <c r="E25" s="162"/>
      <c r="F25" s="161">
        <v>800</v>
      </c>
      <c r="G25" s="162"/>
      <c r="H25" s="161"/>
      <c r="I25" s="162"/>
      <c r="J25" s="159"/>
    </row>
    <row r="26" spans="1:10" ht="21" x14ac:dyDescent="0.45">
      <c r="A26" s="159">
        <v>12</v>
      </c>
      <c r="B26" s="160" t="s">
        <v>936</v>
      </c>
      <c r="C26" s="89" t="s">
        <v>955</v>
      </c>
      <c r="D26" s="162"/>
      <c r="E26" s="162"/>
      <c r="F26" s="161">
        <v>2500</v>
      </c>
      <c r="G26" s="162"/>
      <c r="H26" s="161"/>
      <c r="I26" s="162"/>
      <c r="J26" s="159"/>
    </row>
    <row r="27" spans="1:10" ht="21" x14ac:dyDescent="0.45">
      <c r="A27" s="159">
        <v>13</v>
      </c>
      <c r="B27" s="160" t="s">
        <v>910</v>
      </c>
      <c r="C27" s="89" t="s">
        <v>560</v>
      </c>
      <c r="D27" s="161">
        <v>495</v>
      </c>
      <c r="E27" s="162"/>
      <c r="F27" s="161">
        <v>400</v>
      </c>
      <c r="G27" s="162"/>
      <c r="H27" s="161"/>
      <c r="I27" s="162"/>
      <c r="J27" s="159"/>
    </row>
    <row r="28" spans="1:10" ht="21" x14ac:dyDescent="0.45">
      <c r="A28" s="159">
        <v>14</v>
      </c>
      <c r="B28" s="160" t="s">
        <v>937</v>
      </c>
      <c r="C28" s="89" t="s">
        <v>552</v>
      </c>
      <c r="D28" s="161">
        <v>1125</v>
      </c>
      <c r="E28" s="162"/>
      <c r="F28" s="161"/>
      <c r="G28" s="162"/>
      <c r="H28" s="161"/>
      <c r="I28" s="162"/>
      <c r="J28" s="159"/>
    </row>
    <row r="29" spans="1:10" ht="21" x14ac:dyDescent="0.45">
      <c r="A29" s="159">
        <v>15</v>
      </c>
      <c r="B29" s="160" t="s">
        <v>938</v>
      </c>
      <c r="C29" s="89" t="s">
        <v>956</v>
      </c>
      <c r="D29" s="162"/>
      <c r="E29" s="162"/>
      <c r="F29" s="161">
        <v>270</v>
      </c>
      <c r="G29" s="162"/>
      <c r="H29" s="161"/>
      <c r="I29" s="162"/>
      <c r="J29" s="159"/>
    </row>
    <row r="30" spans="1:10" ht="21" x14ac:dyDescent="0.45">
      <c r="A30" s="159">
        <v>16</v>
      </c>
      <c r="B30" s="160" t="s">
        <v>939</v>
      </c>
      <c r="C30" s="89" t="s">
        <v>957</v>
      </c>
      <c r="D30" s="162"/>
      <c r="E30" s="162"/>
      <c r="F30" s="161">
        <v>4240</v>
      </c>
      <c r="G30" s="162"/>
      <c r="H30" s="161"/>
      <c r="I30" s="162"/>
      <c r="J30" s="166"/>
    </row>
    <row r="31" spans="1:10" ht="21" x14ac:dyDescent="0.45">
      <c r="A31" s="159">
        <v>17</v>
      </c>
      <c r="B31" s="160" t="s">
        <v>940</v>
      </c>
      <c r="C31" s="89" t="s">
        <v>895</v>
      </c>
      <c r="D31" s="161">
        <v>1440</v>
      </c>
      <c r="E31" s="162"/>
      <c r="F31" s="161"/>
      <c r="G31" s="162"/>
      <c r="H31" s="161"/>
      <c r="I31" s="162"/>
      <c r="J31" s="159"/>
    </row>
    <row r="32" spans="1:10" ht="21" x14ac:dyDescent="0.45">
      <c r="A32" s="159">
        <v>18</v>
      </c>
      <c r="B32" s="160" t="s">
        <v>941</v>
      </c>
      <c r="C32" s="89" t="s">
        <v>958</v>
      </c>
      <c r="D32" s="161">
        <v>1500</v>
      </c>
      <c r="E32" s="162"/>
      <c r="F32" s="161"/>
      <c r="G32" s="162"/>
      <c r="H32" s="161"/>
      <c r="I32" s="162"/>
      <c r="J32" s="159"/>
    </row>
    <row r="33" spans="1:12" ht="21" x14ac:dyDescent="0.45">
      <c r="A33" s="159">
        <v>19</v>
      </c>
      <c r="B33" s="160" t="s">
        <v>942</v>
      </c>
      <c r="C33" s="89" t="s">
        <v>562</v>
      </c>
      <c r="D33" s="161">
        <v>22275</v>
      </c>
      <c r="E33" s="162"/>
      <c r="F33" s="161">
        <v>400</v>
      </c>
      <c r="G33" s="162"/>
      <c r="H33" s="161"/>
      <c r="I33" s="162"/>
      <c r="J33" s="159"/>
    </row>
    <row r="34" spans="1:12" ht="21" x14ac:dyDescent="0.45">
      <c r="A34" s="344" t="s">
        <v>344</v>
      </c>
      <c r="B34" s="345"/>
      <c r="C34" s="346"/>
      <c r="D34" s="194">
        <f>SUM(D16:D33)</f>
        <v>49115</v>
      </c>
      <c r="E34" s="195"/>
      <c r="F34" s="196">
        <f>SUM(F16:F33)</f>
        <v>10810</v>
      </c>
      <c r="G34" s="195"/>
      <c r="H34" s="194"/>
      <c r="I34" s="181"/>
      <c r="J34" s="176"/>
      <c r="K34" s="91">
        <v>-1469</v>
      </c>
    </row>
    <row r="35" spans="1:12" ht="21" x14ac:dyDescent="0.45">
      <c r="A35" s="201" t="s">
        <v>184</v>
      </c>
      <c r="B35" s="203" t="s">
        <v>337</v>
      </c>
      <c r="C35" s="204"/>
      <c r="D35" s="94" t="s">
        <v>163</v>
      </c>
      <c r="E35" s="255"/>
      <c r="F35" s="255" t="s">
        <v>165</v>
      </c>
      <c r="G35" s="255"/>
      <c r="H35" s="255" t="s">
        <v>164</v>
      </c>
      <c r="I35" s="255"/>
      <c r="J35" s="201" t="s">
        <v>50</v>
      </c>
    </row>
    <row r="36" spans="1:12" ht="21" x14ac:dyDescent="0.45">
      <c r="A36" s="202"/>
      <c r="B36" s="205"/>
      <c r="C36" s="206"/>
      <c r="D36" s="255" t="s">
        <v>177</v>
      </c>
      <c r="E36" s="255" t="s">
        <v>339</v>
      </c>
      <c r="F36" s="255" t="s">
        <v>177</v>
      </c>
      <c r="G36" s="255" t="s">
        <v>339</v>
      </c>
      <c r="H36" s="255" t="s">
        <v>177</v>
      </c>
      <c r="I36" s="255" t="s">
        <v>339</v>
      </c>
      <c r="J36" s="202"/>
    </row>
    <row r="37" spans="1:12" ht="21" x14ac:dyDescent="0.45">
      <c r="A37" s="334" t="s">
        <v>345</v>
      </c>
      <c r="B37" s="335"/>
      <c r="C37" s="336"/>
      <c r="D37" s="98"/>
      <c r="E37" s="93"/>
      <c r="F37" s="98"/>
      <c r="G37" s="93"/>
      <c r="H37" s="98"/>
      <c r="I37" s="96"/>
      <c r="J37" s="95"/>
    </row>
    <row r="38" spans="1:12" ht="21" x14ac:dyDescent="0.45">
      <c r="A38" s="170">
        <v>1</v>
      </c>
      <c r="B38" s="171" t="s">
        <v>900</v>
      </c>
      <c r="C38" s="172" t="s">
        <v>959</v>
      </c>
      <c r="D38" s="173">
        <v>2370</v>
      </c>
      <c r="E38" s="174"/>
      <c r="F38" s="173"/>
      <c r="G38" s="175"/>
      <c r="H38" s="175"/>
      <c r="I38" s="175"/>
      <c r="J38" s="170"/>
    </row>
    <row r="39" spans="1:12" ht="21" x14ac:dyDescent="0.45">
      <c r="A39" s="159">
        <v>2</v>
      </c>
      <c r="B39" s="160" t="s">
        <v>943</v>
      </c>
      <c r="C39" s="89" t="s">
        <v>960</v>
      </c>
      <c r="D39" s="161">
        <v>420</v>
      </c>
      <c r="E39" s="165"/>
      <c r="F39" s="161"/>
      <c r="G39" s="162"/>
      <c r="H39" s="162"/>
      <c r="I39" s="162"/>
      <c r="J39" s="159"/>
    </row>
    <row r="40" spans="1:12" ht="21" x14ac:dyDescent="0.45">
      <c r="A40" s="159">
        <v>3</v>
      </c>
      <c r="B40" s="160" t="s">
        <v>911</v>
      </c>
      <c r="C40" s="89" t="s">
        <v>559</v>
      </c>
      <c r="D40" s="161">
        <v>15910</v>
      </c>
      <c r="E40" s="161"/>
      <c r="F40" s="161"/>
      <c r="G40" s="161"/>
      <c r="H40" s="161"/>
      <c r="I40" s="161"/>
      <c r="J40" s="159"/>
    </row>
    <row r="41" spans="1:12" ht="21" x14ac:dyDescent="0.45">
      <c r="A41" s="159">
        <v>4</v>
      </c>
      <c r="B41" s="160" t="s">
        <v>944</v>
      </c>
      <c r="C41" s="89" t="s">
        <v>953</v>
      </c>
      <c r="D41" s="161">
        <v>2000</v>
      </c>
      <c r="E41" s="161"/>
      <c r="F41" s="161"/>
      <c r="G41" s="161"/>
      <c r="H41" s="161"/>
      <c r="I41" s="161"/>
      <c r="J41" s="159"/>
    </row>
    <row r="42" spans="1:12" ht="21" x14ac:dyDescent="0.45">
      <c r="A42" s="159">
        <v>5</v>
      </c>
      <c r="B42" s="160" t="s">
        <v>945</v>
      </c>
      <c r="C42" s="89" t="s">
        <v>558</v>
      </c>
      <c r="D42" s="161">
        <v>2000</v>
      </c>
      <c r="E42" s="161"/>
      <c r="F42" s="161"/>
      <c r="G42" s="161"/>
      <c r="H42" s="161"/>
      <c r="I42" s="161"/>
      <c r="J42" s="159"/>
    </row>
    <row r="43" spans="1:12" ht="21" x14ac:dyDescent="0.45">
      <c r="A43" s="159">
        <v>6</v>
      </c>
      <c r="B43" s="160" t="s">
        <v>910</v>
      </c>
      <c r="C43" s="89" t="s">
        <v>560</v>
      </c>
      <c r="D43" s="161">
        <v>495</v>
      </c>
      <c r="E43" s="161"/>
      <c r="F43" s="161">
        <v>400</v>
      </c>
      <c r="G43" s="161"/>
      <c r="H43" s="161"/>
      <c r="I43" s="162"/>
      <c r="J43" s="159"/>
    </row>
    <row r="44" spans="1:12" ht="21" x14ac:dyDescent="0.45">
      <c r="A44" s="159">
        <v>7</v>
      </c>
      <c r="B44" s="160" t="s">
        <v>340</v>
      </c>
      <c r="C44" s="89"/>
      <c r="D44" s="161"/>
      <c r="E44" s="161"/>
      <c r="F44" s="161">
        <v>62182</v>
      </c>
      <c r="G44" s="161"/>
      <c r="H44" s="161"/>
      <c r="I44" s="162"/>
      <c r="J44" s="159"/>
    </row>
    <row r="45" spans="1:12" ht="21" x14ac:dyDescent="0.45">
      <c r="A45" s="176">
        <v>8</v>
      </c>
      <c r="B45" s="177" t="s">
        <v>942</v>
      </c>
      <c r="C45" s="178" t="s">
        <v>562</v>
      </c>
      <c r="D45" s="180">
        <v>22275</v>
      </c>
      <c r="E45" s="179"/>
      <c r="F45" s="180">
        <v>400</v>
      </c>
      <c r="G45" s="180"/>
      <c r="H45" s="180"/>
      <c r="I45" s="181"/>
      <c r="J45" s="176"/>
    </row>
    <row r="46" spans="1:12" ht="21.75" thickBot="1" x14ac:dyDescent="0.5">
      <c r="A46" s="184"/>
      <c r="B46" s="211" t="s">
        <v>346</v>
      </c>
      <c r="C46" s="212"/>
      <c r="D46" s="99">
        <f>SUM(D38:D45)</f>
        <v>45470</v>
      </c>
      <c r="E46" s="99"/>
      <c r="F46" s="99">
        <v>62982</v>
      </c>
      <c r="G46" s="99"/>
      <c r="H46" s="99" t="s">
        <v>968</v>
      </c>
      <c r="I46" s="155"/>
      <c r="J46" s="184"/>
      <c r="L46" s="91">
        <f>F14+F46</f>
        <v>126364</v>
      </c>
    </row>
    <row r="47" spans="1:12" ht="21.75" thickTop="1" x14ac:dyDescent="0.45">
      <c r="A47" s="337" t="s">
        <v>549</v>
      </c>
      <c r="B47" s="338"/>
      <c r="C47" s="339"/>
      <c r="D47" s="182"/>
      <c r="E47" s="183"/>
      <c r="F47" s="182"/>
      <c r="G47" s="183"/>
      <c r="H47" s="182"/>
      <c r="I47" s="183"/>
      <c r="J47" s="197"/>
      <c r="L47" s="91">
        <f>L46-137374</f>
        <v>-11010</v>
      </c>
    </row>
    <row r="48" spans="1:12" ht="21" x14ac:dyDescent="0.45">
      <c r="A48" s="137">
        <v>1</v>
      </c>
      <c r="B48" s="138" t="s">
        <v>550</v>
      </c>
      <c r="C48" s="139" t="s">
        <v>551</v>
      </c>
      <c r="D48" s="140">
        <v>5819</v>
      </c>
      <c r="E48" s="141"/>
      <c r="F48" s="140">
        <v>1296</v>
      </c>
      <c r="G48" s="141"/>
      <c r="H48" s="140" t="s">
        <v>967</v>
      </c>
      <c r="I48" s="141"/>
      <c r="J48" s="198"/>
    </row>
    <row r="49" spans="1:10" ht="21" x14ac:dyDescent="0.45">
      <c r="A49" s="142">
        <v>2</v>
      </c>
      <c r="B49" s="143" t="s">
        <v>921</v>
      </c>
      <c r="C49" s="144" t="s">
        <v>922</v>
      </c>
      <c r="D49" s="145">
        <v>1125</v>
      </c>
      <c r="E49" s="146"/>
      <c r="F49" s="147"/>
      <c r="G49" s="146"/>
      <c r="H49" s="145" t="s">
        <v>967</v>
      </c>
      <c r="I49" s="146"/>
      <c r="J49" s="199"/>
    </row>
    <row r="50" spans="1:10" ht="21" x14ac:dyDescent="0.45">
      <c r="A50" s="142">
        <v>3</v>
      </c>
      <c r="B50" s="143" t="s">
        <v>896</v>
      </c>
      <c r="C50" s="144" t="s">
        <v>553</v>
      </c>
      <c r="D50" s="145">
        <v>5000</v>
      </c>
      <c r="E50" s="146"/>
      <c r="F50" s="147">
        <v>400</v>
      </c>
      <c r="G50" s="146"/>
      <c r="H50" s="145" t="s">
        <v>967</v>
      </c>
      <c r="I50" s="146" t="s">
        <v>969</v>
      </c>
      <c r="J50" s="199"/>
    </row>
    <row r="51" spans="1:10" ht="21" x14ac:dyDescent="0.45">
      <c r="A51" s="137">
        <v>4</v>
      </c>
      <c r="B51" s="143" t="s">
        <v>919</v>
      </c>
      <c r="C51" s="144" t="s">
        <v>920</v>
      </c>
      <c r="D51" s="147">
        <v>1030</v>
      </c>
      <c r="E51" s="146"/>
      <c r="F51" s="145"/>
      <c r="G51" s="146"/>
      <c r="H51" s="145" t="s">
        <v>967</v>
      </c>
      <c r="I51" s="146"/>
      <c r="J51" s="199"/>
    </row>
    <row r="52" spans="1:10" ht="21" x14ac:dyDescent="0.45">
      <c r="A52" s="142">
        <v>5</v>
      </c>
      <c r="B52" s="143" t="s">
        <v>918</v>
      </c>
      <c r="C52" s="144" t="s">
        <v>555</v>
      </c>
      <c r="D52" s="145">
        <v>250</v>
      </c>
      <c r="E52" s="146"/>
      <c r="F52" s="145"/>
      <c r="G52" s="146"/>
      <c r="H52" s="145" t="s">
        <v>967</v>
      </c>
      <c r="I52" s="146"/>
      <c r="J52" s="199"/>
    </row>
    <row r="53" spans="1:10" ht="21" x14ac:dyDescent="0.45">
      <c r="A53" s="142">
        <v>6</v>
      </c>
      <c r="B53" s="143" t="s">
        <v>917</v>
      </c>
      <c r="C53" s="144" t="s">
        <v>556</v>
      </c>
      <c r="D53" s="145">
        <v>260</v>
      </c>
      <c r="E53" s="146"/>
      <c r="F53" s="147"/>
      <c r="G53" s="146"/>
      <c r="H53" s="145" t="s">
        <v>967</v>
      </c>
      <c r="I53" s="146"/>
      <c r="J53" s="199"/>
    </row>
    <row r="54" spans="1:10" ht="21" x14ac:dyDescent="0.45">
      <c r="A54" s="137">
        <v>7</v>
      </c>
      <c r="B54" s="143" t="s">
        <v>915</v>
      </c>
      <c r="C54" s="144" t="s">
        <v>916</v>
      </c>
      <c r="D54" s="145">
        <v>139373</v>
      </c>
      <c r="E54" s="146"/>
      <c r="F54" s="147">
        <v>1000</v>
      </c>
      <c r="G54" s="146"/>
      <c r="H54" s="145">
        <v>4635.05</v>
      </c>
      <c r="I54" s="146"/>
      <c r="J54" s="199"/>
    </row>
    <row r="55" spans="1:10" ht="21" x14ac:dyDescent="0.45">
      <c r="A55" s="142">
        <v>8</v>
      </c>
      <c r="B55" s="143" t="s">
        <v>914</v>
      </c>
      <c r="C55" s="144" t="s">
        <v>557</v>
      </c>
      <c r="D55" s="147">
        <v>320</v>
      </c>
      <c r="E55" s="146"/>
      <c r="F55" s="145"/>
      <c r="G55" s="146"/>
      <c r="H55" s="145">
        <v>26.6</v>
      </c>
      <c r="I55" s="146"/>
      <c r="J55" s="199"/>
    </row>
    <row r="56" spans="1:10" ht="21" x14ac:dyDescent="0.45">
      <c r="A56" s="142">
        <v>9</v>
      </c>
      <c r="B56" s="143" t="s">
        <v>912</v>
      </c>
      <c r="C56" s="144" t="s">
        <v>913</v>
      </c>
      <c r="D56" s="147">
        <v>2000</v>
      </c>
      <c r="E56" s="146"/>
      <c r="F56" s="145"/>
      <c r="G56" s="146"/>
      <c r="H56" s="145" t="s">
        <v>967</v>
      </c>
      <c r="I56" s="146"/>
      <c r="J56" s="199"/>
    </row>
    <row r="57" spans="1:10" ht="21" x14ac:dyDescent="0.45">
      <c r="A57" s="137">
        <v>10</v>
      </c>
      <c r="B57" s="143" t="s">
        <v>911</v>
      </c>
      <c r="C57" s="144" t="s">
        <v>559</v>
      </c>
      <c r="D57" s="145">
        <v>13145</v>
      </c>
      <c r="E57" s="146"/>
      <c r="F57" s="145"/>
      <c r="G57" s="146"/>
      <c r="H57" s="145" t="s">
        <v>967</v>
      </c>
      <c r="I57" s="146"/>
      <c r="J57" s="199"/>
    </row>
    <row r="58" spans="1:10" ht="21" x14ac:dyDescent="0.45">
      <c r="A58" s="142">
        <v>11</v>
      </c>
      <c r="B58" s="143" t="s">
        <v>910</v>
      </c>
      <c r="C58" s="144" t="s">
        <v>560</v>
      </c>
      <c r="D58" s="147">
        <v>495</v>
      </c>
      <c r="E58" s="146"/>
      <c r="F58" s="145">
        <v>400</v>
      </c>
      <c r="G58" s="146"/>
      <c r="H58" s="145" t="s">
        <v>967</v>
      </c>
      <c r="I58" s="146"/>
      <c r="J58" s="199"/>
    </row>
    <row r="59" spans="1:10" ht="21" x14ac:dyDescent="0.45">
      <c r="A59" s="142">
        <v>12</v>
      </c>
      <c r="B59" s="143" t="s">
        <v>909</v>
      </c>
      <c r="C59" s="144" t="s">
        <v>561</v>
      </c>
      <c r="D59" s="145">
        <v>2000</v>
      </c>
      <c r="E59" s="146"/>
      <c r="F59" s="147"/>
      <c r="G59" s="146"/>
      <c r="H59" s="145" t="s">
        <v>967</v>
      </c>
      <c r="I59" s="146"/>
      <c r="J59" s="199"/>
    </row>
    <row r="60" spans="1:10" ht="21" x14ac:dyDescent="0.45">
      <c r="A60" s="137">
        <v>13</v>
      </c>
      <c r="B60" s="143" t="s">
        <v>908</v>
      </c>
      <c r="C60" s="144" t="s">
        <v>907</v>
      </c>
      <c r="D60" s="145">
        <v>260</v>
      </c>
      <c r="E60" s="146"/>
      <c r="F60" s="147"/>
      <c r="G60" s="146"/>
      <c r="H60" s="145">
        <v>107.35</v>
      </c>
      <c r="I60" s="146" t="s">
        <v>969</v>
      </c>
      <c r="J60" s="199"/>
    </row>
    <row r="61" spans="1:10" ht="21" x14ac:dyDescent="0.45">
      <c r="A61" s="142">
        <v>14</v>
      </c>
      <c r="B61" s="143" t="s">
        <v>906</v>
      </c>
      <c r="C61" s="144" t="s">
        <v>562</v>
      </c>
      <c r="D61" s="147">
        <v>22275</v>
      </c>
      <c r="E61" s="146"/>
      <c r="F61" s="145">
        <v>400</v>
      </c>
      <c r="G61" s="146"/>
      <c r="H61" s="145" t="s">
        <v>967</v>
      </c>
      <c r="I61" s="146"/>
      <c r="J61" s="199"/>
    </row>
    <row r="62" spans="1:10" ht="21" x14ac:dyDescent="0.45">
      <c r="A62" s="142">
        <v>15</v>
      </c>
      <c r="B62" s="143" t="s">
        <v>563</v>
      </c>
      <c r="C62" s="144" t="s">
        <v>905</v>
      </c>
      <c r="D62" s="145">
        <v>6750</v>
      </c>
      <c r="E62" s="146"/>
      <c r="F62" s="145"/>
      <c r="G62" s="146"/>
      <c r="H62" s="145" t="s">
        <v>967</v>
      </c>
      <c r="I62" s="146"/>
      <c r="J62" s="199"/>
    </row>
    <row r="63" spans="1:10" ht="21" x14ac:dyDescent="0.45">
      <c r="A63" s="137">
        <v>16</v>
      </c>
      <c r="B63" s="143" t="s">
        <v>904</v>
      </c>
      <c r="C63" s="144" t="s">
        <v>565</v>
      </c>
      <c r="D63" s="145">
        <v>400</v>
      </c>
      <c r="E63" s="146"/>
      <c r="F63" s="147">
        <v>400</v>
      </c>
      <c r="G63" s="146"/>
      <c r="H63" s="145" t="s">
        <v>967</v>
      </c>
      <c r="I63" s="146"/>
      <c r="J63" s="199"/>
    </row>
    <row r="64" spans="1:10" ht="21" x14ac:dyDescent="0.45">
      <c r="A64" s="142">
        <v>17</v>
      </c>
      <c r="B64" s="143" t="s">
        <v>903</v>
      </c>
      <c r="C64" s="144" t="s">
        <v>566</v>
      </c>
      <c r="D64" s="145">
        <v>260</v>
      </c>
      <c r="E64" s="146"/>
      <c r="F64" s="147"/>
      <c r="G64" s="146"/>
      <c r="H64" s="145" t="s">
        <v>967</v>
      </c>
      <c r="I64" s="146"/>
      <c r="J64" s="199"/>
    </row>
    <row r="65" spans="1:10" ht="21" x14ac:dyDescent="0.45">
      <c r="A65" s="142">
        <v>18</v>
      </c>
      <c r="B65" s="143" t="s">
        <v>901</v>
      </c>
      <c r="C65" s="144" t="s">
        <v>902</v>
      </c>
      <c r="D65" s="147">
        <v>540</v>
      </c>
      <c r="E65" s="146"/>
      <c r="F65" s="145"/>
      <c r="G65" s="146"/>
      <c r="H65" s="145" t="s">
        <v>967</v>
      </c>
      <c r="I65" s="146"/>
      <c r="J65" s="199"/>
    </row>
    <row r="66" spans="1:10" ht="21" x14ac:dyDescent="0.45">
      <c r="A66" s="137">
        <v>19</v>
      </c>
      <c r="B66" s="143" t="s">
        <v>900</v>
      </c>
      <c r="C66" s="144" t="s">
        <v>568</v>
      </c>
      <c r="D66" s="147">
        <v>2370</v>
      </c>
      <c r="E66" s="146"/>
      <c r="F66" s="145"/>
      <c r="G66" s="146"/>
      <c r="H66" s="145" t="s">
        <v>967</v>
      </c>
      <c r="I66" s="146"/>
      <c r="J66" s="199"/>
    </row>
    <row r="67" spans="1:10" ht="21" x14ac:dyDescent="0.45">
      <c r="A67" s="142">
        <v>20</v>
      </c>
      <c r="B67" s="143" t="s">
        <v>899</v>
      </c>
      <c r="C67" s="144" t="s">
        <v>569</v>
      </c>
      <c r="D67" s="145">
        <v>260</v>
      </c>
      <c r="E67" s="146"/>
      <c r="F67" s="145"/>
      <c r="G67" s="146"/>
      <c r="H67" s="145" t="s">
        <v>967</v>
      </c>
      <c r="I67" s="146"/>
      <c r="J67" s="199"/>
    </row>
    <row r="68" spans="1:10" ht="21" x14ac:dyDescent="0.45">
      <c r="A68" s="142">
        <v>21</v>
      </c>
      <c r="B68" s="143" t="s">
        <v>898</v>
      </c>
      <c r="C68" s="144" t="s">
        <v>570</v>
      </c>
      <c r="D68" s="147">
        <v>250</v>
      </c>
      <c r="E68" s="146"/>
      <c r="F68" s="145"/>
      <c r="G68" s="146"/>
      <c r="H68" s="145" t="s">
        <v>967</v>
      </c>
      <c r="I68" s="146"/>
      <c r="J68" s="199"/>
    </row>
    <row r="69" spans="1:10" ht="21" x14ac:dyDescent="0.45">
      <c r="A69" s="137">
        <v>22</v>
      </c>
      <c r="B69" s="143" t="s">
        <v>897</v>
      </c>
      <c r="C69" s="144" t="s">
        <v>572</v>
      </c>
      <c r="D69" s="145">
        <v>260</v>
      </c>
      <c r="E69" s="146"/>
      <c r="F69" s="145"/>
      <c r="G69" s="146"/>
      <c r="H69" s="145" t="s">
        <v>967</v>
      </c>
      <c r="I69" s="146"/>
      <c r="J69" s="199"/>
    </row>
    <row r="70" spans="1:10" ht="21" x14ac:dyDescent="0.45">
      <c r="A70" s="201" t="s">
        <v>184</v>
      </c>
      <c r="B70" s="203" t="s">
        <v>337</v>
      </c>
      <c r="C70" s="204"/>
      <c r="D70" s="94" t="s">
        <v>163</v>
      </c>
      <c r="E70" s="255"/>
      <c r="F70" s="255" t="s">
        <v>165</v>
      </c>
      <c r="G70" s="255"/>
      <c r="H70" s="255" t="s">
        <v>164</v>
      </c>
      <c r="I70" s="255"/>
      <c r="J70" s="201" t="s">
        <v>50</v>
      </c>
    </row>
    <row r="71" spans="1:10" ht="21" x14ac:dyDescent="0.45">
      <c r="A71" s="202"/>
      <c r="B71" s="205"/>
      <c r="C71" s="206"/>
      <c r="D71" s="255" t="s">
        <v>177</v>
      </c>
      <c r="E71" s="255" t="s">
        <v>339</v>
      </c>
      <c r="F71" s="255" t="s">
        <v>177</v>
      </c>
      <c r="G71" s="255" t="s">
        <v>339</v>
      </c>
      <c r="H71" s="255" t="s">
        <v>177</v>
      </c>
      <c r="I71" s="255" t="s">
        <v>339</v>
      </c>
      <c r="J71" s="202"/>
    </row>
    <row r="72" spans="1:10" ht="21" x14ac:dyDescent="0.45">
      <c r="A72" s="142">
        <v>23</v>
      </c>
      <c r="B72" s="143" t="s">
        <v>573</v>
      </c>
      <c r="C72" s="144" t="s">
        <v>574</v>
      </c>
      <c r="D72" s="145">
        <v>200</v>
      </c>
      <c r="E72" s="146"/>
      <c r="F72" s="147"/>
      <c r="G72" s="146"/>
      <c r="H72" s="145" t="s">
        <v>967</v>
      </c>
      <c r="I72" s="146"/>
      <c r="J72" s="199"/>
    </row>
    <row r="73" spans="1:10" ht="21" x14ac:dyDescent="0.45">
      <c r="A73" s="137">
        <v>24</v>
      </c>
      <c r="B73" s="143" t="s">
        <v>575</v>
      </c>
      <c r="C73" s="144" t="s">
        <v>576</v>
      </c>
      <c r="D73" s="145">
        <v>260</v>
      </c>
      <c r="E73" s="146"/>
      <c r="F73" s="147"/>
      <c r="G73" s="146"/>
      <c r="H73" s="145" t="s">
        <v>967</v>
      </c>
      <c r="I73" s="146" t="s">
        <v>969</v>
      </c>
      <c r="J73" s="199"/>
    </row>
    <row r="74" spans="1:10" ht="21" x14ac:dyDescent="0.45">
      <c r="A74" s="142">
        <v>25</v>
      </c>
      <c r="B74" s="143" t="s">
        <v>577</v>
      </c>
      <c r="C74" s="144" t="s">
        <v>578</v>
      </c>
      <c r="D74" s="147">
        <v>260</v>
      </c>
      <c r="E74" s="146"/>
      <c r="F74" s="145">
        <v>200</v>
      </c>
      <c r="G74" s="146"/>
      <c r="H74" s="145" t="s">
        <v>967</v>
      </c>
      <c r="I74" s="146"/>
      <c r="J74" s="199"/>
    </row>
    <row r="75" spans="1:10" ht="21" x14ac:dyDescent="0.45">
      <c r="A75" s="142">
        <v>26</v>
      </c>
      <c r="B75" s="143" t="s">
        <v>579</v>
      </c>
      <c r="C75" s="144" t="s">
        <v>580</v>
      </c>
      <c r="D75" s="145"/>
      <c r="E75" s="146"/>
      <c r="F75" s="147">
        <v>270</v>
      </c>
      <c r="G75" s="146"/>
      <c r="H75" s="145" t="s">
        <v>967</v>
      </c>
      <c r="I75" s="146"/>
      <c r="J75" s="199"/>
    </row>
    <row r="76" spans="1:10" ht="21" x14ac:dyDescent="0.45">
      <c r="A76" s="137">
        <v>27</v>
      </c>
      <c r="B76" s="143" t="s">
        <v>581</v>
      </c>
      <c r="C76" s="144" t="s">
        <v>582</v>
      </c>
      <c r="D76" s="145"/>
      <c r="E76" s="146"/>
      <c r="F76" s="147">
        <v>400</v>
      </c>
      <c r="G76" s="146"/>
      <c r="H76" s="145" t="s">
        <v>967</v>
      </c>
      <c r="I76" s="146"/>
      <c r="J76" s="199"/>
    </row>
    <row r="77" spans="1:10" ht="21" x14ac:dyDescent="0.45">
      <c r="A77" s="142">
        <v>28</v>
      </c>
      <c r="B77" s="143" t="s">
        <v>583</v>
      </c>
      <c r="C77" s="144" t="s">
        <v>584</v>
      </c>
      <c r="D77" s="147"/>
      <c r="E77" s="146"/>
      <c r="F77" s="145">
        <v>400</v>
      </c>
      <c r="G77" s="146"/>
      <c r="H77" s="145" t="s">
        <v>967</v>
      </c>
      <c r="I77" s="146"/>
      <c r="J77" s="199"/>
    </row>
    <row r="78" spans="1:10" ht="21" x14ac:dyDescent="0.45">
      <c r="A78" s="142">
        <v>29</v>
      </c>
      <c r="B78" s="143" t="s">
        <v>585</v>
      </c>
      <c r="C78" s="144" t="s">
        <v>586</v>
      </c>
      <c r="D78" s="147"/>
      <c r="E78" s="146"/>
      <c r="F78" s="145">
        <v>400</v>
      </c>
      <c r="G78" s="146"/>
      <c r="H78" s="145" t="s">
        <v>967</v>
      </c>
      <c r="I78" s="146"/>
      <c r="J78" s="199"/>
    </row>
    <row r="79" spans="1:10" ht="21" x14ac:dyDescent="0.45">
      <c r="A79" s="137">
        <v>30</v>
      </c>
      <c r="B79" s="143" t="s">
        <v>587</v>
      </c>
      <c r="C79" s="144" t="s">
        <v>588</v>
      </c>
      <c r="D79" s="145"/>
      <c r="E79" s="146"/>
      <c r="F79" s="145">
        <v>200</v>
      </c>
      <c r="G79" s="146"/>
      <c r="H79" s="145" t="s">
        <v>967</v>
      </c>
      <c r="I79" s="146"/>
      <c r="J79" s="199"/>
    </row>
    <row r="80" spans="1:10" ht="21" x14ac:dyDescent="0.45">
      <c r="A80" s="142">
        <v>31</v>
      </c>
      <c r="B80" s="143" t="s">
        <v>589</v>
      </c>
      <c r="C80" s="144" t="s">
        <v>590</v>
      </c>
      <c r="D80" s="145"/>
      <c r="E80" s="146"/>
      <c r="F80" s="147">
        <v>200</v>
      </c>
      <c r="G80" s="146"/>
      <c r="H80" s="145" t="s">
        <v>967</v>
      </c>
      <c r="I80" s="146"/>
      <c r="J80" s="199"/>
    </row>
    <row r="81" spans="1:10" ht="21" x14ac:dyDescent="0.45">
      <c r="A81" s="142">
        <v>32</v>
      </c>
      <c r="B81" s="143" t="s">
        <v>591</v>
      </c>
      <c r="C81" s="144" t="s">
        <v>592</v>
      </c>
      <c r="D81" s="145"/>
      <c r="E81" s="146"/>
      <c r="F81" s="147">
        <v>200</v>
      </c>
      <c r="G81" s="146"/>
      <c r="H81" s="145" t="s">
        <v>967</v>
      </c>
      <c r="I81" s="146" t="s">
        <v>969</v>
      </c>
      <c r="J81" s="199"/>
    </row>
    <row r="82" spans="1:10" ht="21" x14ac:dyDescent="0.45">
      <c r="A82" s="137">
        <v>33</v>
      </c>
      <c r="B82" s="143" t="s">
        <v>593</v>
      </c>
      <c r="C82" s="144" t="s">
        <v>594</v>
      </c>
      <c r="D82" s="147"/>
      <c r="E82" s="146"/>
      <c r="F82" s="145">
        <v>400</v>
      </c>
      <c r="G82" s="146"/>
      <c r="H82" s="145" t="s">
        <v>967</v>
      </c>
      <c r="I82" s="146"/>
      <c r="J82" s="199"/>
    </row>
    <row r="83" spans="1:10" ht="21" x14ac:dyDescent="0.45">
      <c r="A83" s="142">
        <v>34</v>
      </c>
      <c r="B83" s="143" t="s">
        <v>571</v>
      </c>
      <c r="C83" s="144" t="s">
        <v>595</v>
      </c>
      <c r="D83" s="145"/>
      <c r="E83" s="146"/>
      <c r="F83" s="145">
        <v>336</v>
      </c>
      <c r="G83" s="146"/>
      <c r="H83" s="145" t="s">
        <v>967</v>
      </c>
      <c r="I83" s="146"/>
      <c r="J83" s="199"/>
    </row>
    <row r="84" spans="1:10" ht="21" x14ac:dyDescent="0.45">
      <c r="A84" s="142">
        <v>35</v>
      </c>
      <c r="B84" s="143" t="s">
        <v>596</v>
      </c>
      <c r="C84" s="144" t="s">
        <v>597</v>
      </c>
      <c r="D84" s="145"/>
      <c r="E84" s="146"/>
      <c r="F84" s="147">
        <v>400</v>
      </c>
      <c r="G84" s="146"/>
      <c r="H84" s="145" t="s">
        <v>967</v>
      </c>
      <c r="I84" s="146"/>
      <c r="J84" s="199"/>
    </row>
    <row r="85" spans="1:10" ht="21" x14ac:dyDescent="0.45">
      <c r="A85" s="137">
        <v>36</v>
      </c>
      <c r="B85" s="143" t="s">
        <v>598</v>
      </c>
      <c r="C85" s="144" t="s">
        <v>599</v>
      </c>
      <c r="D85" s="145"/>
      <c r="E85" s="146"/>
      <c r="F85" s="147">
        <v>200</v>
      </c>
      <c r="G85" s="146"/>
      <c r="H85" s="145" t="s">
        <v>967</v>
      </c>
      <c r="I85" s="146"/>
      <c r="J85" s="199"/>
    </row>
    <row r="86" spans="1:10" ht="21" x14ac:dyDescent="0.45">
      <c r="A86" s="142">
        <v>37</v>
      </c>
      <c r="B86" s="143" t="s">
        <v>600</v>
      </c>
      <c r="C86" s="144" t="s">
        <v>601</v>
      </c>
      <c r="D86" s="147"/>
      <c r="E86" s="146"/>
      <c r="F86" s="145">
        <v>400</v>
      </c>
      <c r="G86" s="146"/>
      <c r="H86" s="145" t="s">
        <v>967</v>
      </c>
      <c r="I86" s="146"/>
      <c r="J86" s="199"/>
    </row>
    <row r="87" spans="1:10" ht="21" x14ac:dyDescent="0.45">
      <c r="A87" s="142">
        <v>38</v>
      </c>
      <c r="B87" s="143" t="s">
        <v>602</v>
      </c>
      <c r="C87" s="144" t="s">
        <v>603</v>
      </c>
      <c r="D87" s="145"/>
      <c r="E87" s="146"/>
      <c r="F87" s="145">
        <v>300</v>
      </c>
      <c r="G87" s="146"/>
      <c r="H87" s="145" t="s">
        <v>967</v>
      </c>
      <c r="I87" s="146"/>
      <c r="J87" s="199"/>
    </row>
    <row r="88" spans="1:10" ht="21" x14ac:dyDescent="0.45">
      <c r="A88" s="137">
        <v>39</v>
      </c>
      <c r="B88" s="213" t="s">
        <v>604</v>
      </c>
      <c r="C88" s="214"/>
      <c r="D88" s="145">
        <v>8494</v>
      </c>
      <c r="E88" s="146"/>
      <c r="F88" s="147"/>
      <c r="G88" s="146"/>
      <c r="H88" s="145" t="s">
        <v>967</v>
      </c>
      <c r="I88" s="146"/>
      <c r="J88" s="199"/>
    </row>
    <row r="89" spans="1:10" ht="21" x14ac:dyDescent="0.45">
      <c r="A89" s="142">
        <v>40</v>
      </c>
      <c r="B89" s="207" t="s">
        <v>605</v>
      </c>
      <c r="C89" s="208"/>
      <c r="D89" s="145">
        <v>8316</v>
      </c>
      <c r="E89" s="146"/>
      <c r="F89" s="147">
        <v>2520</v>
      </c>
      <c r="G89" s="146"/>
      <c r="H89" s="145" t="s">
        <v>967</v>
      </c>
      <c r="I89" s="146" t="s">
        <v>969</v>
      </c>
      <c r="J89" s="199"/>
    </row>
    <row r="90" spans="1:10" ht="21" x14ac:dyDescent="0.45">
      <c r="A90" s="142">
        <v>41</v>
      </c>
      <c r="B90" s="207" t="s">
        <v>606</v>
      </c>
      <c r="C90" s="208"/>
      <c r="D90" s="147">
        <v>11250</v>
      </c>
      <c r="E90" s="146"/>
      <c r="F90" s="145"/>
      <c r="G90" s="146"/>
      <c r="H90" s="145" t="s">
        <v>967</v>
      </c>
      <c r="I90" s="146"/>
      <c r="J90" s="199"/>
    </row>
    <row r="91" spans="1:10" ht="21" x14ac:dyDescent="0.45">
      <c r="A91" s="137">
        <v>42</v>
      </c>
      <c r="B91" s="207" t="s">
        <v>343</v>
      </c>
      <c r="C91" s="208"/>
      <c r="D91" s="145">
        <v>8000</v>
      </c>
      <c r="E91" s="146"/>
      <c r="F91" s="145"/>
      <c r="G91" s="146"/>
      <c r="H91" s="145" t="s">
        <v>967</v>
      </c>
      <c r="I91" s="146"/>
      <c r="J91" s="199"/>
    </row>
    <row r="92" spans="1:10" ht="21" x14ac:dyDescent="0.45">
      <c r="A92" s="142">
        <v>43</v>
      </c>
      <c r="B92" s="207" t="s">
        <v>607</v>
      </c>
      <c r="C92" s="208"/>
      <c r="D92" s="145">
        <v>5250</v>
      </c>
      <c r="E92" s="146"/>
      <c r="F92" s="147"/>
      <c r="G92" s="146"/>
      <c r="H92" s="145" t="s">
        <v>967</v>
      </c>
      <c r="I92" s="146"/>
      <c r="J92" s="199"/>
    </row>
    <row r="93" spans="1:10" ht="21" x14ac:dyDescent="0.45">
      <c r="A93" s="142">
        <v>44</v>
      </c>
      <c r="B93" s="207" t="s">
        <v>608</v>
      </c>
      <c r="C93" s="208"/>
      <c r="D93" s="145">
        <v>17050</v>
      </c>
      <c r="E93" s="146"/>
      <c r="F93" s="147">
        <v>6600</v>
      </c>
      <c r="G93" s="146"/>
      <c r="H93" s="145" t="s">
        <v>967</v>
      </c>
      <c r="I93" s="146"/>
      <c r="J93" s="199"/>
    </row>
    <row r="94" spans="1:10" ht="21" x14ac:dyDescent="0.45">
      <c r="A94" s="137">
        <v>45</v>
      </c>
      <c r="B94" s="207" t="s">
        <v>609</v>
      </c>
      <c r="C94" s="208"/>
      <c r="D94" s="147"/>
      <c r="E94" s="146"/>
      <c r="F94" s="145">
        <v>200</v>
      </c>
      <c r="G94" s="146"/>
      <c r="H94" s="145" t="s">
        <v>967</v>
      </c>
      <c r="I94" s="146"/>
      <c r="J94" s="199"/>
    </row>
    <row r="95" spans="1:10" ht="21" x14ac:dyDescent="0.45">
      <c r="A95" s="142">
        <v>46</v>
      </c>
      <c r="B95" s="207" t="s">
        <v>610</v>
      </c>
      <c r="C95" s="208"/>
      <c r="D95" s="147"/>
      <c r="E95" s="146"/>
      <c r="F95" s="145">
        <v>200</v>
      </c>
      <c r="G95" s="146"/>
      <c r="H95" s="145" t="s">
        <v>967</v>
      </c>
      <c r="I95" s="146"/>
      <c r="J95" s="199"/>
    </row>
    <row r="96" spans="1:10" ht="21" x14ac:dyDescent="0.45">
      <c r="A96" s="142">
        <v>47</v>
      </c>
      <c r="B96" s="207" t="s">
        <v>611</v>
      </c>
      <c r="C96" s="208"/>
      <c r="D96" s="145"/>
      <c r="E96" s="146"/>
      <c r="F96" s="145">
        <v>200</v>
      </c>
      <c r="G96" s="146"/>
      <c r="H96" s="145" t="s">
        <v>967</v>
      </c>
      <c r="I96" s="146"/>
      <c r="J96" s="199"/>
    </row>
    <row r="97" spans="1:10" ht="21" x14ac:dyDescent="0.45">
      <c r="A97" s="137">
        <v>48</v>
      </c>
      <c r="B97" s="207" t="s">
        <v>612</v>
      </c>
      <c r="C97" s="208"/>
      <c r="D97" s="147"/>
      <c r="E97" s="146"/>
      <c r="F97" s="145">
        <v>200</v>
      </c>
      <c r="G97" s="146"/>
      <c r="H97" s="145" t="s">
        <v>967</v>
      </c>
      <c r="I97" s="146"/>
      <c r="J97" s="199"/>
    </row>
    <row r="98" spans="1:10" ht="21" x14ac:dyDescent="0.45">
      <c r="A98" s="142">
        <v>49</v>
      </c>
      <c r="B98" s="207" t="s">
        <v>613</v>
      </c>
      <c r="C98" s="208"/>
      <c r="D98" s="145"/>
      <c r="E98" s="146"/>
      <c r="F98" s="145">
        <v>200</v>
      </c>
      <c r="G98" s="146"/>
      <c r="H98" s="145" t="s">
        <v>967</v>
      </c>
      <c r="I98" s="146"/>
      <c r="J98" s="199"/>
    </row>
    <row r="99" spans="1:10" ht="21" x14ac:dyDescent="0.45">
      <c r="A99" s="142">
        <v>50</v>
      </c>
      <c r="B99" s="207" t="s">
        <v>614</v>
      </c>
      <c r="C99" s="208"/>
      <c r="D99" s="145"/>
      <c r="E99" s="146"/>
      <c r="F99" s="147">
        <v>200</v>
      </c>
      <c r="G99" s="146"/>
      <c r="H99" s="145" t="s">
        <v>967</v>
      </c>
      <c r="I99" s="146"/>
      <c r="J99" s="199"/>
    </row>
    <row r="100" spans="1:10" ht="21" x14ac:dyDescent="0.45">
      <c r="A100" s="137">
        <v>51</v>
      </c>
      <c r="B100" s="143" t="s">
        <v>615</v>
      </c>
      <c r="C100" s="144" t="s">
        <v>616</v>
      </c>
      <c r="D100" s="145"/>
      <c r="E100" s="146"/>
      <c r="F100" s="147"/>
      <c r="G100" s="146"/>
      <c r="H100" s="145">
        <v>24.7</v>
      </c>
      <c r="I100" s="146" t="s">
        <v>969</v>
      </c>
      <c r="J100" s="199"/>
    </row>
    <row r="101" spans="1:10" ht="21" x14ac:dyDescent="0.45">
      <c r="A101" s="142">
        <v>52</v>
      </c>
      <c r="B101" s="143" t="s">
        <v>617</v>
      </c>
      <c r="C101" s="144" t="s">
        <v>564</v>
      </c>
      <c r="D101" s="147"/>
      <c r="E101" s="146"/>
      <c r="F101" s="145"/>
      <c r="G101" s="146"/>
      <c r="H101" s="145">
        <v>19</v>
      </c>
      <c r="I101" s="146"/>
      <c r="J101" s="199"/>
    </row>
    <row r="102" spans="1:10" ht="21" x14ac:dyDescent="0.45">
      <c r="A102" s="142">
        <v>53</v>
      </c>
      <c r="B102" s="143" t="s">
        <v>618</v>
      </c>
      <c r="C102" s="144" t="s">
        <v>619</v>
      </c>
      <c r="D102" s="145"/>
      <c r="E102" s="146"/>
      <c r="F102" s="145"/>
      <c r="G102" s="146"/>
      <c r="H102" s="145">
        <v>12.35</v>
      </c>
      <c r="I102" s="146"/>
      <c r="J102" s="199"/>
    </row>
    <row r="103" spans="1:10" ht="21" x14ac:dyDescent="0.45">
      <c r="A103" s="137">
        <v>54</v>
      </c>
      <c r="B103" s="143" t="s">
        <v>620</v>
      </c>
      <c r="C103" s="144" t="s">
        <v>621</v>
      </c>
      <c r="D103" s="145"/>
      <c r="E103" s="146"/>
      <c r="F103" s="147"/>
      <c r="G103" s="146"/>
      <c r="H103" s="145">
        <v>4.75</v>
      </c>
      <c r="I103" s="146"/>
      <c r="J103" s="199"/>
    </row>
    <row r="104" spans="1:10" ht="21" x14ac:dyDescent="0.45">
      <c r="A104" s="142">
        <v>55</v>
      </c>
      <c r="B104" s="143" t="s">
        <v>622</v>
      </c>
      <c r="C104" s="144" t="s">
        <v>623</v>
      </c>
      <c r="D104" s="145"/>
      <c r="E104" s="146"/>
      <c r="F104" s="147"/>
      <c r="G104" s="146"/>
      <c r="H104" s="145">
        <v>58.9</v>
      </c>
      <c r="I104" s="146"/>
      <c r="J104" s="199"/>
    </row>
    <row r="105" spans="1:10" ht="21" x14ac:dyDescent="0.45">
      <c r="A105" s="201" t="s">
        <v>184</v>
      </c>
      <c r="B105" s="203" t="s">
        <v>337</v>
      </c>
      <c r="C105" s="204"/>
      <c r="D105" s="94" t="s">
        <v>163</v>
      </c>
      <c r="E105" s="255"/>
      <c r="F105" s="255" t="s">
        <v>165</v>
      </c>
      <c r="G105" s="255"/>
      <c r="H105" s="255" t="s">
        <v>164</v>
      </c>
      <c r="I105" s="255"/>
      <c r="J105" s="201" t="s">
        <v>50</v>
      </c>
    </row>
    <row r="106" spans="1:10" ht="21" x14ac:dyDescent="0.45">
      <c r="A106" s="202"/>
      <c r="B106" s="205"/>
      <c r="C106" s="206"/>
      <c r="D106" s="255" t="s">
        <v>177</v>
      </c>
      <c r="E106" s="255" t="s">
        <v>339</v>
      </c>
      <c r="F106" s="255" t="s">
        <v>177</v>
      </c>
      <c r="G106" s="255" t="s">
        <v>339</v>
      </c>
      <c r="H106" s="255" t="s">
        <v>177</v>
      </c>
      <c r="I106" s="255" t="s">
        <v>339</v>
      </c>
      <c r="J106" s="202"/>
    </row>
    <row r="107" spans="1:10" ht="21" x14ac:dyDescent="0.45">
      <c r="A107" s="142">
        <v>56</v>
      </c>
      <c r="B107" s="143" t="s">
        <v>624</v>
      </c>
      <c r="C107" s="144" t="s">
        <v>625</v>
      </c>
      <c r="D107" s="147"/>
      <c r="E107" s="146"/>
      <c r="F107" s="145"/>
      <c r="G107" s="146"/>
      <c r="H107" s="145">
        <v>46.55</v>
      </c>
      <c r="I107" s="146"/>
      <c r="J107" s="199"/>
    </row>
    <row r="108" spans="1:10" ht="21" x14ac:dyDescent="0.45">
      <c r="A108" s="142">
        <v>57</v>
      </c>
      <c r="B108" s="143" t="s">
        <v>626</v>
      </c>
      <c r="C108" s="144" t="s">
        <v>627</v>
      </c>
      <c r="D108" s="147"/>
      <c r="E108" s="146"/>
      <c r="F108" s="145"/>
      <c r="G108" s="146"/>
      <c r="H108" s="145">
        <v>43.7</v>
      </c>
      <c r="I108" s="146"/>
      <c r="J108" s="199"/>
    </row>
    <row r="109" spans="1:10" ht="21" x14ac:dyDescent="0.45">
      <c r="A109" s="142">
        <v>58</v>
      </c>
      <c r="B109" s="143" t="s">
        <v>628</v>
      </c>
      <c r="C109" s="144" t="s">
        <v>629</v>
      </c>
      <c r="D109" s="147"/>
      <c r="E109" s="146"/>
      <c r="F109" s="145"/>
      <c r="G109" s="146"/>
      <c r="H109" s="145">
        <v>27.55</v>
      </c>
      <c r="I109" s="146"/>
      <c r="J109" s="199"/>
    </row>
    <row r="110" spans="1:10" ht="21" x14ac:dyDescent="0.45">
      <c r="A110" s="142">
        <v>59</v>
      </c>
      <c r="B110" s="143" t="s">
        <v>630</v>
      </c>
      <c r="C110" s="144" t="s">
        <v>631</v>
      </c>
      <c r="D110" s="145"/>
      <c r="E110" s="146"/>
      <c r="F110" s="145"/>
      <c r="G110" s="146"/>
      <c r="H110" s="145">
        <v>71.25</v>
      </c>
      <c r="I110" s="146"/>
      <c r="J110" s="199"/>
    </row>
    <row r="111" spans="1:10" ht="21" x14ac:dyDescent="0.45">
      <c r="A111" s="142">
        <v>60</v>
      </c>
      <c r="B111" s="143" t="s">
        <v>632</v>
      </c>
      <c r="C111" s="144" t="s">
        <v>633</v>
      </c>
      <c r="D111" s="145"/>
      <c r="E111" s="146"/>
      <c r="F111" s="147"/>
      <c r="G111" s="146"/>
      <c r="H111" s="145">
        <v>19</v>
      </c>
      <c r="I111" s="146"/>
      <c r="J111" s="199"/>
    </row>
    <row r="112" spans="1:10" ht="21" x14ac:dyDescent="0.45">
      <c r="A112" s="142">
        <v>61</v>
      </c>
      <c r="B112" s="143" t="s">
        <v>634</v>
      </c>
      <c r="C112" s="144" t="s">
        <v>635</v>
      </c>
      <c r="D112" s="145"/>
      <c r="E112" s="146"/>
      <c r="F112" s="147"/>
      <c r="G112" s="146"/>
      <c r="H112" s="145">
        <v>16.149999999999999</v>
      </c>
      <c r="I112" s="146" t="s">
        <v>969</v>
      </c>
      <c r="J112" s="199"/>
    </row>
    <row r="113" spans="1:10" ht="21" x14ac:dyDescent="0.45">
      <c r="A113" s="142">
        <v>62</v>
      </c>
      <c r="B113" s="143" t="s">
        <v>636</v>
      </c>
      <c r="C113" s="144" t="s">
        <v>637</v>
      </c>
      <c r="D113" s="147"/>
      <c r="E113" s="146"/>
      <c r="F113" s="145"/>
      <c r="G113" s="146"/>
      <c r="H113" s="145">
        <v>38</v>
      </c>
      <c r="I113" s="146"/>
      <c r="J113" s="199"/>
    </row>
    <row r="114" spans="1:10" ht="21" x14ac:dyDescent="0.45">
      <c r="A114" s="142">
        <v>63</v>
      </c>
      <c r="B114" s="143" t="s">
        <v>638</v>
      </c>
      <c r="C114" s="144" t="s">
        <v>635</v>
      </c>
      <c r="D114" s="145"/>
      <c r="E114" s="146"/>
      <c r="F114" s="145"/>
      <c r="G114" s="146"/>
      <c r="H114" s="145">
        <v>4.75</v>
      </c>
      <c r="I114" s="146"/>
      <c r="J114" s="199"/>
    </row>
    <row r="115" spans="1:10" ht="21" x14ac:dyDescent="0.45">
      <c r="A115" s="142">
        <v>64</v>
      </c>
      <c r="B115" s="143" t="s">
        <v>639</v>
      </c>
      <c r="C115" s="144" t="s">
        <v>640</v>
      </c>
      <c r="D115" s="145"/>
      <c r="E115" s="146"/>
      <c r="F115" s="147"/>
      <c r="G115" s="146"/>
      <c r="H115" s="145">
        <v>19.95</v>
      </c>
      <c r="I115" s="146"/>
      <c r="J115" s="199"/>
    </row>
    <row r="116" spans="1:10" ht="21" x14ac:dyDescent="0.45">
      <c r="A116" s="142">
        <v>65</v>
      </c>
      <c r="B116" s="143" t="s">
        <v>641</v>
      </c>
      <c r="C116" s="144" t="s">
        <v>642</v>
      </c>
      <c r="D116" s="145"/>
      <c r="E116" s="146"/>
      <c r="F116" s="147"/>
      <c r="G116" s="146"/>
      <c r="H116" s="145">
        <v>7.6</v>
      </c>
      <c r="I116" s="146"/>
      <c r="J116" s="199"/>
    </row>
    <row r="117" spans="1:10" ht="21" x14ac:dyDescent="0.45">
      <c r="A117" s="142">
        <v>66</v>
      </c>
      <c r="B117" s="143" t="s">
        <v>643</v>
      </c>
      <c r="C117" s="144" t="s">
        <v>644</v>
      </c>
      <c r="D117" s="147"/>
      <c r="E117" s="146"/>
      <c r="F117" s="145"/>
      <c r="G117" s="146"/>
      <c r="H117" s="145">
        <v>19</v>
      </c>
      <c r="I117" s="146"/>
      <c r="J117" s="199"/>
    </row>
    <row r="118" spans="1:10" ht="21" x14ac:dyDescent="0.45">
      <c r="A118" s="142">
        <v>67</v>
      </c>
      <c r="B118" s="143" t="s">
        <v>645</v>
      </c>
      <c r="C118" s="144" t="s">
        <v>646</v>
      </c>
      <c r="D118" s="147"/>
      <c r="E118" s="146"/>
      <c r="F118" s="145"/>
      <c r="G118" s="146"/>
      <c r="H118" s="145">
        <v>93.1</v>
      </c>
      <c r="I118" s="146"/>
      <c r="J118" s="199"/>
    </row>
    <row r="119" spans="1:10" ht="21" x14ac:dyDescent="0.45">
      <c r="A119" s="142">
        <v>68</v>
      </c>
      <c r="B119" s="143" t="s">
        <v>647</v>
      </c>
      <c r="C119" s="144" t="s">
        <v>648</v>
      </c>
      <c r="D119" s="145"/>
      <c r="E119" s="146"/>
      <c r="F119" s="145"/>
      <c r="G119" s="146"/>
      <c r="H119" s="145">
        <v>17.100000000000001</v>
      </c>
      <c r="I119" s="146"/>
      <c r="J119" s="199"/>
    </row>
    <row r="120" spans="1:10" ht="21" x14ac:dyDescent="0.45">
      <c r="A120" s="142">
        <v>69</v>
      </c>
      <c r="B120" s="143" t="s">
        <v>649</v>
      </c>
      <c r="C120" s="144" t="s">
        <v>650</v>
      </c>
      <c r="D120" s="147"/>
      <c r="E120" s="146"/>
      <c r="F120" s="145"/>
      <c r="G120" s="146"/>
      <c r="H120" s="145">
        <v>15.2</v>
      </c>
      <c r="I120" s="146"/>
      <c r="J120" s="199"/>
    </row>
    <row r="121" spans="1:10" ht="21" x14ac:dyDescent="0.45">
      <c r="A121" s="142">
        <v>70</v>
      </c>
      <c r="B121" s="143" t="s">
        <v>651</v>
      </c>
      <c r="C121" s="144" t="s">
        <v>652</v>
      </c>
      <c r="D121" s="145"/>
      <c r="E121" s="146"/>
      <c r="F121" s="145"/>
      <c r="G121" s="146"/>
      <c r="H121" s="145">
        <v>17.100000000000001</v>
      </c>
      <c r="I121" s="146"/>
      <c r="J121" s="199"/>
    </row>
    <row r="122" spans="1:10" ht="21" x14ac:dyDescent="0.45">
      <c r="A122" s="142">
        <v>71</v>
      </c>
      <c r="B122" s="143" t="s">
        <v>653</v>
      </c>
      <c r="C122" s="144" t="s">
        <v>654</v>
      </c>
      <c r="D122" s="145"/>
      <c r="E122" s="146"/>
      <c r="F122" s="147"/>
      <c r="G122" s="146"/>
      <c r="H122" s="145">
        <v>171</v>
      </c>
      <c r="I122" s="146"/>
      <c r="J122" s="199"/>
    </row>
    <row r="123" spans="1:10" ht="21" x14ac:dyDescent="0.45">
      <c r="A123" s="142">
        <v>72</v>
      </c>
      <c r="B123" s="143" t="s">
        <v>655</v>
      </c>
      <c r="C123" s="144" t="s">
        <v>656</v>
      </c>
      <c r="D123" s="145"/>
      <c r="E123" s="146"/>
      <c r="F123" s="147"/>
      <c r="G123" s="146"/>
      <c r="H123" s="145">
        <v>23.75</v>
      </c>
      <c r="I123" s="146" t="s">
        <v>969</v>
      </c>
      <c r="J123" s="199"/>
    </row>
    <row r="124" spans="1:10" ht="21" x14ac:dyDescent="0.45">
      <c r="A124" s="142">
        <v>73</v>
      </c>
      <c r="B124" s="143" t="s">
        <v>657</v>
      </c>
      <c r="C124" s="144" t="s">
        <v>658</v>
      </c>
      <c r="D124" s="147"/>
      <c r="E124" s="146"/>
      <c r="F124" s="145"/>
      <c r="G124" s="146"/>
      <c r="H124" s="145">
        <v>6.65</v>
      </c>
      <c r="I124" s="146"/>
      <c r="J124" s="199"/>
    </row>
    <row r="125" spans="1:10" ht="21" x14ac:dyDescent="0.45">
      <c r="A125" s="142">
        <v>74</v>
      </c>
      <c r="B125" s="143" t="s">
        <v>554</v>
      </c>
      <c r="C125" s="144" t="s">
        <v>659</v>
      </c>
      <c r="D125" s="145"/>
      <c r="E125" s="146"/>
      <c r="F125" s="145"/>
      <c r="G125" s="146"/>
      <c r="H125" s="145">
        <v>4.75</v>
      </c>
      <c r="I125" s="146"/>
      <c r="J125" s="199"/>
    </row>
    <row r="126" spans="1:10" ht="21" x14ac:dyDescent="0.45">
      <c r="A126" s="142">
        <v>75</v>
      </c>
      <c r="B126" s="143" t="s">
        <v>660</v>
      </c>
      <c r="C126" s="144" t="s">
        <v>661</v>
      </c>
      <c r="D126" s="145"/>
      <c r="E126" s="146"/>
      <c r="F126" s="147"/>
      <c r="G126" s="146"/>
      <c r="H126" s="145">
        <v>6.65</v>
      </c>
      <c r="I126" s="146"/>
      <c r="J126" s="199"/>
    </row>
    <row r="127" spans="1:10" ht="21" x14ac:dyDescent="0.45">
      <c r="A127" s="142">
        <v>76</v>
      </c>
      <c r="B127" s="143" t="s">
        <v>662</v>
      </c>
      <c r="C127" s="144" t="s">
        <v>663</v>
      </c>
      <c r="D127" s="145"/>
      <c r="E127" s="146"/>
      <c r="F127" s="147"/>
      <c r="G127" s="146"/>
      <c r="H127" s="145">
        <v>123.5</v>
      </c>
      <c r="I127" s="146"/>
      <c r="J127" s="199"/>
    </row>
    <row r="128" spans="1:10" ht="21" x14ac:dyDescent="0.45">
      <c r="A128" s="142">
        <v>77</v>
      </c>
      <c r="B128" s="143" t="s">
        <v>664</v>
      </c>
      <c r="C128" s="144" t="s">
        <v>665</v>
      </c>
      <c r="D128" s="147"/>
      <c r="E128" s="146"/>
      <c r="F128" s="145"/>
      <c r="G128" s="146"/>
      <c r="H128" s="145">
        <v>4.75</v>
      </c>
      <c r="I128" s="146"/>
      <c r="J128" s="199"/>
    </row>
    <row r="129" spans="1:10" ht="21" x14ac:dyDescent="0.45">
      <c r="A129" s="142">
        <v>78</v>
      </c>
      <c r="B129" s="143" t="s">
        <v>666</v>
      </c>
      <c r="C129" s="144" t="s">
        <v>667</v>
      </c>
      <c r="D129" s="147"/>
      <c r="E129" s="146"/>
      <c r="F129" s="145"/>
      <c r="G129" s="146"/>
      <c r="H129" s="145">
        <v>19.95</v>
      </c>
      <c r="I129" s="146"/>
      <c r="J129" s="199"/>
    </row>
    <row r="130" spans="1:10" ht="21" x14ac:dyDescent="0.45">
      <c r="A130" s="142">
        <v>79</v>
      </c>
      <c r="B130" s="143" t="s">
        <v>668</v>
      </c>
      <c r="C130" s="144" t="s">
        <v>669</v>
      </c>
      <c r="D130" s="145"/>
      <c r="E130" s="146"/>
      <c r="F130" s="145"/>
      <c r="G130" s="146"/>
      <c r="H130" s="145">
        <v>8.5500000000000007</v>
      </c>
      <c r="I130" s="146"/>
      <c r="J130" s="199"/>
    </row>
    <row r="131" spans="1:10" ht="21" x14ac:dyDescent="0.45">
      <c r="A131" s="142">
        <v>80</v>
      </c>
      <c r="B131" s="143" t="s">
        <v>670</v>
      </c>
      <c r="C131" s="144" t="s">
        <v>671</v>
      </c>
      <c r="D131" s="147"/>
      <c r="E131" s="146"/>
      <c r="F131" s="145"/>
      <c r="G131" s="146"/>
      <c r="H131" s="145">
        <v>9.5</v>
      </c>
      <c r="I131" s="146"/>
      <c r="J131" s="199"/>
    </row>
    <row r="132" spans="1:10" ht="21" x14ac:dyDescent="0.45">
      <c r="A132" s="142">
        <v>81</v>
      </c>
      <c r="B132" s="143" t="s">
        <v>672</v>
      </c>
      <c r="C132" s="144" t="s">
        <v>673</v>
      </c>
      <c r="D132" s="145"/>
      <c r="E132" s="146"/>
      <c r="F132" s="145"/>
      <c r="G132" s="146"/>
      <c r="H132" s="145">
        <v>10.45</v>
      </c>
      <c r="I132" s="146"/>
      <c r="J132" s="199"/>
    </row>
    <row r="133" spans="1:10" ht="21" x14ac:dyDescent="0.45">
      <c r="A133" s="142">
        <v>82</v>
      </c>
      <c r="B133" s="143" t="s">
        <v>674</v>
      </c>
      <c r="C133" s="144" t="s">
        <v>675</v>
      </c>
      <c r="D133" s="145"/>
      <c r="E133" s="146"/>
      <c r="F133" s="147"/>
      <c r="G133" s="146"/>
      <c r="H133" s="145">
        <v>17.100000000000001</v>
      </c>
      <c r="I133" s="146" t="s">
        <v>969</v>
      </c>
      <c r="J133" s="199"/>
    </row>
    <row r="134" spans="1:10" ht="21" x14ac:dyDescent="0.45">
      <c r="A134" s="142">
        <v>83</v>
      </c>
      <c r="B134" s="143" t="s">
        <v>676</v>
      </c>
      <c r="C134" s="144" t="s">
        <v>677</v>
      </c>
      <c r="D134" s="147"/>
      <c r="E134" s="146"/>
      <c r="F134" s="145"/>
      <c r="G134" s="146"/>
      <c r="H134" s="145">
        <v>90.25</v>
      </c>
      <c r="I134" s="146"/>
      <c r="J134" s="199"/>
    </row>
    <row r="135" spans="1:10" ht="21" x14ac:dyDescent="0.45">
      <c r="A135" s="142">
        <v>84</v>
      </c>
      <c r="B135" s="143" t="s">
        <v>678</v>
      </c>
      <c r="C135" s="144" t="s">
        <v>679</v>
      </c>
      <c r="D135" s="145"/>
      <c r="E135" s="146"/>
      <c r="F135" s="145"/>
      <c r="G135" s="146"/>
      <c r="H135" s="145">
        <v>6.65</v>
      </c>
      <c r="I135" s="146"/>
      <c r="J135" s="199"/>
    </row>
    <row r="136" spans="1:10" ht="21" x14ac:dyDescent="0.45">
      <c r="A136" s="142">
        <v>85</v>
      </c>
      <c r="B136" s="143" t="s">
        <v>680</v>
      </c>
      <c r="C136" s="144" t="s">
        <v>681</v>
      </c>
      <c r="D136" s="145"/>
      <c r="E136" s="146"/>
      <c r="F136" s="147"/>
      <c r="G136" s="146"/>
      <c r="H136" s="145">
        <v>17.100000000000001</v>
      </c>
      <c r="I136" s="146"/>
      <c r="J136" s="199"/>
    </row>
    <row r="137" spans="1:10" ht="21" x14ac:dyDescent="0.45">
      <c r="A137" s="142">
        <v>86</v>
      </c>
      <c r="B137" s="143" t="s">
        <v>682</v>
      </c>
      <c r="C137" s="144" t="s">
        <v>683</v>
      </c>
      <c r="D137" s="145"/>
      <c r="E137" s="146"/>
      <c r="F137" s="147"/>
      <c r="G137" s="146"/>
      <c r="H137" s="145">
        <v>4.75</v>
      </c>
      <c r="I137" s="146"/>
      <c r="J137" s="199"/>
    </row>
    <row r="138" spans="1:10" ht="21" x14ac:dyDescent="0.45">
      <c r="A138" s="142">
        <v>87</v>
      </c>
      <c r="B138" s="143" t="s">
        <v>684</v>
      </c>
      <c r="C138" s="144" t="s">
        <v>685</v>
      </c>
      <c r="D138" s="147"/>
      <c r="E138" s="146"/>
      <c r="F138" s="145"/>
      <c r="G138" s="146"/>
      <c r="H138" s="145">
        <v>14.25</v>
      </c>
      <c r="I138" s="146"/>
      <c r="J138" s="199"/>
    </row>
    <row r="139" spans="1:10" ht="21" x14ac:dyDescent="0.45">
      <c r="A139" s="137">
        <v>88</v>
      </c>
      <c r="B139" s="143" t="s">
        <v>686</v>
      </c>
      <c r="C139" s="144" t="s">
        <v>687</v>
      </c>
      <c r="D139" s="147"/>
      <c r="E139" s="146"/>
      <c r="F139" s="145"/>
      <c r="G139" s="146"/>
      <c r="H139" s="145">
        <v>33.25</v>
      </c>
      <c r="I139" s="146"/>
      <c r="J139" s="199"/>
    </row>
    <row r="140" spans="1:10" ht="21" x14ac:dyDescent="0.45">
      <c r="A140" s="201" t="s">
        <v>184</v>
      </c>
      <c r="B140" s="203" t="s">
        <v>337</v>
      </c>
      <c r="C140" s="204"/>
      <c r="D140" s="94" t="s">
        <v>163</v>
      </c>
      <c r="E140" s="255"/>
      <c r="F140" s="255" t="s">
        <v>165</v>
      </c>
      <c r="G140" s="255"/>
      <c r="H140" s="255" t="s">
        <v>164</v>
      </c>
      <c r="I140" s="255"/>
      <c r="J140" s="201" t="s">
        <v>50</v>
      </c>
    </row>
    <row r="141" spans="1:10" ht="21" x14ac:dyDescent="0.45">
      <c r="A141" s="202"/>
      <c r="B141" s="205"/>
      <c r="C141" s="206"/>
      <c r="D141" s="255" t="s">
        <v>177</v>
      </c>
      <c r="E141" s="255" t="s">
        <v>339</v>
      </c>
      <c r="F141" s="255" t="s">
        <v>177</v>
      </c>
      <c r="G141" s="255" t="s">
        <v>339</v>
      </c>
      <c r="H141" s="255" t="s">
        <v>177</v>
      </c>
      <c r="I141" s="255" t="s">
        <v>339</v>
      </c>
      <c r="J141" s="202"/>
    </row>
    <row r="142" spans="1:10" ht="21" x14ac:dyDescent="0.45">
      <c r="A142" s="142">
        <v>89</v>
      </c>
      <c r="B142" s="143" t="s">
        <v>688</v>
      </c>
      <c r="C142" s="144" t="s">
        <v>621</v>
      </c>
      <c r="D142" s="145"/>
      <c r="E142" s="146"/>
      <c r="F142" s="145"/>
      <c r="G142" s="146"/>
      <c r="H142" s="145">
        <v>7.6</v>
      </c>
      <c r="I142" s="146"/>
      <c r="J142" s="199"/>
    </row>
    <row r="143" spans="1:10" ht="21" x14ac:dyDescent="0.45">
      <c r="A143" s="137">
        <v>90</v>
      </c>
      <c r="B143" s="143" t="s">
        <v>689</v>
      </c>
      <c r="C143" s="144" t="s">
        <v>690</v>
      </c>
      <c r="D143" s="147"/>
      <c r="E143" s="146"/>
      <c r="F143" s="145"/>
      <c r="G143" s="146"/>
      <c r="H143" s="145">
        <v>49.4</v>
      </c>
      <c r="I143" s="146"/>
      <c r="J143" s="199"/>
    </row>
    <row r="144" spans="1:10" ht="21" x14ac:dyDescent="0.45">
      <c r="A144" s="142">
        <v>91</v>
      </c>
      <c r="B144" s="143" t="s">
        <v>688</v>
      </c>
      <c r="C144" s="144" t="s">
        <v>635</v>
      </c>
      <c r="D144" s="145"/>
      <c r="E144" s="146"/>
      <c r="F144" s="147"/>
      <c r="G144" s="146"/>
      <c r="H144" s="145">
        <v>6.65</v>
      </c>
      <c r="I144" s="146"/>
      <c r="J144" s="199"/>
    </row>
    <row r="145" spans="1:10" ht="21" x14ac:dyDescent="0.45">
      <c r="A145" s="137">
        <v>92</v>
      </c>
      <c r="B145" s="143" t="s">
        <v>692</v>
      </c>
      <c r="C145" s="144" t="s">
        <v>693</v>
      </c>
      <c r="D145" s="145"/>
      <c r="E145" s="146"/>
      <c r="F145" s="147"/>
      <c r="G145" s="146"/>
      <c r="H145" s="145">
        <v>57</v>
      </c>
      <c r="I145" s="146" t="s">
        <v>969</v>
      </c>
      <c r="J145" s="199"/>
    </row>
    <row r="146" spans="1:10" ht="21" x14ac:dyDescent="0.45">
      <c r="A146" s="142">
        <v>93</v>
      </c>
      <c r="B146" s="148" t="s">
        <v>694</v>
      </c>
      <c r="C146" s="149" t="s">
        <v>695</v>
      </c>
      <c r="D146" s="150"/>
      <c r="E146" s="151"/>
      <c r="F146" s="152"/>
      <c r="G146" s="151"/>
      <c r="H146" s="152">
        <v>22.8</v>
      </c>
      <c r="I146" s="151"/>
      <c r="J146" s="200"/>
    </row>
    <row r="147" spans="1:10" ht="21" x14ac:dyDescent="0.45">
      <c r="A147" s="137">
        <v>94</v>
      </c>
      <c r="B147" s="143" t="s">
        <v>696</v>
      </c>
      <c r="C147" s="144" t="s">
        <v>697</v>
      </c>
      <c r="D147" s="145"/>
      <c r="E147" s="146"/>
      <c r="F147" s="145"/>
      <c r="G147" s="146"/>
      <c r="H147" s="145">
        <v>7.6</v>
      </c>
      <c r="I147" s="146"/>
      <c r="J147" s="199"/>
    </row>
    <row r="148" spans="1:10" ht="21" x14ac:dyDescent="0.45">
      <c r="A148" s="142">
        <v>95</v>
      </c>
      <c r="B148" s="143" t="s">
        <v>698</v>
      </c>
      <c r="C148" s="144" t="s">
        <v>667</v>
      </c>
      <c r="D148" s="145"/>
      <c r="E148" s="146"/>
      <c r="F148" s="147"/>
      <c r="G148" s="146"/>
      <c r="H148" s="145">
        <v>85.5</v>
      </c>
      <c r="I148" s="146"/>
      <c r="J148" s="199"/>
    </row>
    <row r="149" spans="1:10" ht="21" x14ac:dyDescent="0.45">
      <c r="A149" s="137">
        <v>96</v>
      </c>
      <c r="B149" s="143" t="s">
        <v>699</v>
      </c>
      <c r="C149" s="144" t="s">
        <v>700</v>
      </c>
      <c r="D149" s="147"/>
      <c r="E149" s="146"/>
      <c r="F149" s="145"/>
      <c r="G149" s="146"/>
      <c r="H149" s="145">
        <v>4.75</v>
      </c>
      <c r="I149" s="146"/>
      <c r="J149" s="199"/>
    </row>
    <row r="150" spans="1:10" ht="21" x14ac:dyDescent="0.45">
      <c r="A150" s="142">
        <v>97</v>
      </c>
      <c r="B150" s="143" t="s">
        <v>701</v>
      </c>
      <c r="C150" s="144" t="s">
        <v>702</v>
      </c>
      <c r="D150" s="147"/>
      <c r="E150" s="146"/>
      <c r="F150" s="145"/>
      <c r="G150" s="146"/>
      <c r="H150" s="145">
        <v>47.5</v>
      </c>
      <c r="I150" s="146"/>
      <c r="J150" s="199"/>
    </row>
    <row r="151" spans="1:10" ht="21" x14ac:dyDescent="0.45">
      <c r="A151" s="137">
        <v>98</v>
      </c>
      <c r="B151" s="143" t="s">
        <v>703</v>
      </c>
      <c r="C151" s="144" t="s">
        <v>704</v>
      </c>
      <c r="D151" s="145"/>
      <c r="E151" s="146"/>
      <c r="F151" s="145"/>
      <c r="G151" s="146"/>
      <c r="H151" s="145">
        <v>6.65</v>
      </c>
      <c r="I151" s="146"/>
      <c r="J151" s="199"/>
    </row>
    <row r="152" spans="1:10" ht="21" x14ac:dyDescent="0.45">
      <c r="A152" s="142">
        <v>99</v>
      </c>
      <c r="B152" s="143" t="s">
        <v>705</v>
      </c>
      <c r="C152" s="144" t="s">
        <v>706</v>
      </c>
      <c r="D152" s="147"/>
      <c r="E152" s="146"/>
      <c r="F152" s="145"/>
      <c r="G152" s="146"/>
      <c r="H152" s="145">
        <v>9.5</v>
      </c>
      <c r="I152" s="146"/>
      <c r="J152" s="199"/>
    </row>
    <row r="153" spans="1:10" ht="21" x14ac:dyDescent="0.45">
      <c r="A153" s="137">
        <v>100</v>
      </c>
      <c r="B153" s="143" t="s">
        <v>707</v>
      </c>
      <c r="C153" s="144" t="s">
        <v>708</v>
      </c>
      <c r="D153" s="145"/>
      <c r="E153" s="146"/>
      <c r="F153" s="145"/>
      <c r="G153" s="146"/>
      <c r="H153" s="145">
        <v>22.8</v>
      </c>
      <c r="I153" s="146"/>
      <c r="J153" s="199"/>
    </row>
    <row r="154" spans="1:10" ht="21" x14ac:dyDescent="0.45">
      <c r="A154" s="142">
        <v>101</v>
      </c>
      <c r="B154" s="143" t="s">
        <v>709</v>
      </c>
      <c r="C154" s="144" t="s">
        <v>710</v>
      </c>
      <c r="D154" s="145"/>
      <c r="E154" s="146"/>
      <c r="F154" s="147"/>
      <c r="G154" s="146"/>
      <c r="H154" s="145">
        <v>5.7</v>
      </c>
      <c r="I154" s="146"/>
      <c r="J154" s="199"/>
    </row>
    <row r="155" spans="1:10" ht="21" x14ac:dyDescent="0.45">
      <c r="A155" s="137">
        <v>102</v>
      </c>
      <c r="B155" s="143" t="s">
        <v>711</v>
      </c>
      <c r="C155" s="144" t="s">
        <v>712</v>
      </c>
      <c r="D155" s="145"/>
      <c r="E155" s="146"/>
      <c r="F155" s="147"/>
      <c r="G155" s="146"/>
      <c r="H155" s="145">
        <v>9.5</v>
      </c>
      <c r="I155" s="146" t="s">
        <v>969</v>
      </c>
      <c r="J155" s="199"/>
    </row>
    <row r="156" spans="1:10" ht="21" x14ac:dyDescent="0.45">
      <c r="A156" s="142">
        <v>103</v>
      </c>
      <c r="B156" s="143" t="s">
        <v>713</v>
      </c>
      <c r="C156" s="144" t="s">
        <v>714</v>
      </c>
      <c r="D156" s="147"/>
      <c r="E156" s="146"/>
      <c r="F156" s="145"/>
      <c r="G156" s="146"/>
      <c r="H156" s="145">
        <v>4.75</v>
      </c>
      <c r="I156" s="146"/>
      <c r="J156" s="199"/>
    </row>
    <row r="157" spans="1:10" ht="21" x14ac:dyDescent="0.45">
      <c r="A157" s="137">
        <v>104</v>
      </c>
      <c r="B157" s="143" t="s">
        <v>715</v>
      </c>
      <c r="C157" s="144" t="s">
        <v>716</v>
      </c>
      <c r="D157" s="145"/>
      <c r="E157" s="146"/>
      <c r="F157" s="145"/>
      <c r="G157" s="146"/>
      <c r="H157" s="145">
        <v>4.75</v>
      </c>
      <c r="I157" s="146"/>
      <c r="J157" s="199"/>
    </row>
    <row r="158" spans="1:10" ht="21" x14ac:dyDescent="0.45">
      <c r="A158" s="142">
        <v>105</v>
      </c>
      <c r="B158" s="143" t="s">
        <v>717</v>
      </c>
      <c r="C158" s="144" t="s">
        <v>718</v>
      </c>
      <c r="D158" s="145"/>
      <c r="E158" s="146"/>
      <c r="F158" s="147"/>
      <c r="G158" s="146"/>
      <c r="H158" s="145">
        <v>24.7</v>
      </c>
      <c r="I158" s="146"/>
      <c r="J158" s="199"/>
    </row>
    <row r="159" spans="1:10" ht="21" x14ac:dyDescent="0.45">
      <c r="A159" s="137">
        <v>106</v>
      </c>
      <c r="B159" s="143" t="s">
        <v>719</v>
      </c>
      <c r="C159" s="144" t="s">
        <v>650</v>
      </c>
      <c r="D159" s="145"/>
      <c r="E159" s="146"/>
      <c r="F159" s="147"/>
      <c r="G159" s="146"/>
      <c r="H159" s="145">
        <v>17.100000000000001</v>
      </c>
      <c r="I159" s="146"/>
      <c r="J159" s="199"/>
    </row>
    <row r="160" spans="1:10" ht="21" x14ac:dyDescent="0.45">
      <c r="A160" s="142">
        <v>107</v>
      </c>
      <c r="B160" s="143" t="s">
        <v>720</v>
      </c>
      <c r="C160" s="144" t="s">
        <v>685</v>
      </c>
      <c r="D160" s="147"/>
      <c r="E160" s="146"/>
      <c r="F160" s="145"/>
      <c r="G160" s="146"/>
      <c r="H160" s="145">
        <v>14.25</v>
      </c>
      <c r="I160" s="146"/>
      <c r="J160" s="199"/>
    </row>
    <row r="161" spans="1:10" ht="21" x14ac:dyDescent="0.45">
      <c r="A161" s="137">
        <v>108</v>
      </c>
      <c r="B161" s="143" t="s">
        <v>721</v>
      </c>
      <c r="C161" s="144" t="s">
        <v>722</v>
      </c>
      <c r="D161" s="147"/>
      <c r="E161" s="146"/>
      <c r="F161" s="145"/>
      <c r="G161" s="146"/>
      <c r="H161" s="145">
        <v>9.5</v>
      </c>
      <c r="I161" s="146"/>
      <c r="J161" s="199"/>
    </row>
    <row r="162" spans="1:10" ht="21" x14ac:dyDescent="0.45">
      <c r="A162" s="142">
        <v>109</v>
      </c>
      <c r="B162" s="143" t="s">
        <v>723</v>
      </c>
      <c r="C162" s="144" t="s">
        <v>724</v>
      </c>
      <c r="D162" s="145"/>
      <c r="E162" s="146"/>
      <c r="F162" s="145"/>
      <c r="G162" s="146"/>
      <c r="H162" s="145">
        <v>4.75</v>
      </c>
      <c r="I162" s="146"/>
      <c r="J162" s="199"/>
    </row>
    <row r="163" spans="1:10" ht="21" x14ac:dyDescent="0.45">
      <c r="A163" s="137">
        <v>110</v>
      </c>
      <c r="B163" s="143" t="s">
        <v>725</v>
      </c>
      <c r="C163" s="144" t="s">
        <v>726</v>
      </c>
      <c r="D163" s="147"/>
      <c r="E163" s="146"/>
      <c r="F163" s="145"/>
      <c r="G163" s="146"/>
      <c r="H163" s="145">
        <v>8.5500000000000007</v>
      </c>
      <c r="I163" s="146"/>
      <c r="J163" s="199"/>
    </row>
    <row r="164" spans="1:10" ht="21" x14ac:dyDescent="0.45">
      <c r="A164" s="142">
        <v>111</v>
      </c>
      <c r="B164" s="143" t="s">
        <v>727</v>
      </c>
      <c r="C164" s="144" t="s">
        <v>691</v>
      </c>
      <c r="D164" s="145"/>
      <c r="E164" s="146"/>
      <c r="F164" s="145"/>
      <c r="G164" s="146"/>
      <c r="H164" s="145">
        <v>117.8</v>
      </c>
      <c r="I164" s="146"/>
      <c r="J164" s="199"/>
    </row>
    <row r="165" spans="1:10" ht="21" x14ac:dyDescent="0.45">
      <c r="A165" s="137">
        <v>112</v>
      </c>
      <c r="B165" s="143" t="s">
        <v>728</v>
      </c>
      <c r="C165" s="144" t="s">
        <v>729</v>
      </c>
      <c r="D165" s="145"/>
      <c r="E165" s="146"/>
      <c r="F165" s="147"/>
      <c r="G165" s="146"/>
      <c r="H165" s="145">
        <v>49.4</v>
      </c>
      <c r="I165" s="146"/>
      <c r="J165" s="199"/>
    </row>
    <row r="166" spans="1:10" ht="21" x14ac:dyDescent="0.45">
      <c r="A166" s="142">
        <v>113</v>
      </c>
      <c r="B166" s="143" t="s">
        <v>730</v>
      </c>
      <c r="C166" s="144" t="s">
        <v>731</v>
      </c>
      <c r="D166" s="145"/>
      <c r="E166" s="146"/>
      <c r="F166" s="147"/>
      <c r="G166" s="146"/>
      <c r="H166" s="145">
        <v>7.6</v>
      </c>
      <c r="I166" s="146" t="s">
        <v>969</v>
      </c>
      <c r="J166" s="199"/>
    </row>
    <row r="167" spans="1:10" ht="21" x14ac:dyDescent="0.45">
      <c r="A167" s="137">
        <v>114</v>
      </c>
      <c r="B167" s="143" t="s">
        <v>732</v>
      </c>
      <c r="C167" s="144" t="s">
        <v>733</v>
      </c>
      <c r="D167" s="147"/>
      <c r="E167" s="146"/>
      <c r="F167" s="145"/>
      <c r="G167" s="146"/>
      <c r="H167" s="145">
        <v>7.6</v>
      </c>
      <c r="I167" s="146"/>
      <c r="J167" s="199"/>
    </row>
    <row r="168" spans="1:10" ht="21" x14ac:dyDescent="0.45">
      <c r="A168" s="142">
        <v>115</v>
      </c>
      <c r="B168" s="143" t="s">
        <v>734</v>
      </c>
      <c r="C168" s="144" t="s">
        <v>735</v>
      </c>
      <c r="D168" s="145"/>
      <c r="E168" s="146"/>
      <c r="F168" s="145"/>
      <c r="G168" s="146"/>
      <c r="H168" s="145">
        <v>13.3</v>
      </c>
      <c r="I168" s="146"/>
      <c r="J168" s="199"/>
    </row>
    <row r="169" spans="1:10" ht="21" x14ac:dyDescent="0.45">
      <c r="A169" s="137">
        <v>116</v>
      </c>
      <c r="B169" s="143" t="s">
        <v>736</v>
      </c>
      <c r="C169" s="144" t="s">
        <v>735</v>
      </c>
      <c r="D169" s="145"/>
      <c r="E169" s="146"/>
      <c r="F169" s="147"/>
      <c r="G169" s="146"/>
      <c r="H169" s="145">
        <v>4.75</v>
      </c>
      <c r="I169" s="146"/>
      <c r="J169" s="199"/>
    </row>
    <row r="170" spans="1:10" ht="21" x14ac:dyDescent="0.45">
      <c r="A170" s="142">
        <v>117</v>
      </c>
      <c r="B170" s="143" t="s">
        <v>737</v>
      </c>
      <c r="C170" s="144" t="s">
        <v>654</v>
      </c>
      <c r="D170" s="145"/>
      <c r="E170" s="146"/>
      <c r="F170" s="147"/>
      <c r="G170" s="146"/>
      <c r="H170" s="145">
        <v>26.6</v>
      </c>
      <c r="I170" s="146"/>
      <c r="J170" s="199"/>
    </row>
    <row r="171" spans="1:10" ht="21" x14ac:dyDescent="0.45">
      <c r="A171" s="137">
        <v>118</v>
      </c>
      <c r="B171" s="143" t="s">
        <v>738</v>
      </c>
      <c r="C171" s="144" t="s">
        <v>739</v>
      </c>
      <c r="D171" s="147"/>
      <c r="E171" s="146"/>
      <c r="F171" s="145"/>
      <c r="G171" s="146"/>
      <c r="H171" s="145">
        <v>4.75</v>
      </c>
      <c r="I171" s="146"/>
      <c r="J171" s="199"/>
    </row>
    <row r="172" spans="1:10" ht="21" x14ac:dyDescent="0.45">
      <c r="A172" s="142">
        <v>119</v>
      </c>
      <c r="B172" s="143" t="s">
        <v>740</v>
      </c>
      <c r="C172" s="144" t="s">
        <v>741</v>
      </c>
      <c r="D172" s="147"/>
      <c r="E172" s="146"/>
      <c r="F172" s="145"/>
      <c r="G172" s="146"/>
      <c r="H172" s="145">
        <v>4.75</v>
      </c>
      <c r="I172" s="146"/>
      <c r="J172" s="199"/>
    </row>
    <row r="173" spans="1:10" ht="21" x14ac:dyDescent="0.45">
      <c r="A173" s="142">
        <v>120</v>
      </c>
      <c r="B173" s="143" t="s">
        <v>742</v>
      </c>
      <c r="C173" s="144" t="s">
        <v>743</v>
      </c>
      <c r="D173" s="145"/>
      <c r="E173" s="146"/>
      <c r="F173" s="145"/>
      <c r="G173" s="146"/>
      <c r="H173" s="145">
        <v>47.5</v>
      </c>
      <c r="I173" s="146"/>
      <c r="J173" s="199"/>
    </row>
    <row r="174" spans="1:10" ht="21" x14ac:dyDescent="0.45">
      <c r="A174" s="137">
        <v>121</v>
      </c>
      <c r="B174" s="143" t="s">
        <v>744</v>
      </c>
      <c r="C174" s="144" t="s">
        <v>745</v>
      </c>
      <c r="D174" s="147"/>
      <c r="E174" s="146"/>
      <c r="F174" s="145"/>
      <c r="G174" s="146"/>
      <c r="H174" s="145">
        <v>22.8</v>
      </c>
      <c r="I174" s="146"/>
      <c r="J174" s="199"/>
    </row>
    <row r="175" spans="1:10" ht="21" x14ac:dyDescent="0.45">
      <c r="A175" s="201" t="s">
        <v>184</v>
      </c>
      <c r="B175" s="203" t="s">
        <v>337</v>
      </c>
      <c r="C175" s="204"/>
      <c r="D175" s="94" t="s">
        <v>163</v>
      </c>
      <c r="E175" s="261"/>
      <c r="F175" s="261" t="s">
        <v>165</v>
      </c>
      <c r="G175" s="261"/>
      <c r="H175" s="261" t="s">
        <v>164</v>
      </c>
      <c r="I175" s="261"/>
      <c r="J175" s="201" t="s">
        <v>50</v>
      </c>
    </row>
    <row r="176" spans="1:10" ht="21" x14ac:dyDescent="0.45">
      <c r="A176" s="202"/>
      <c r="B176" s="205"/>
      <c r="C176" s="206"/>
      <c r="D176" s="261" t="s">
        <v>177</v>
      </c>
      <c r="E176" s="261" t="s">
        <v>339</v>
      </c>
      <c r="F176" s="261" t="s">
        <v>177</v>
      </c>
      <c r="G176" s="261" t="s">
        <v>339</v>
      </c>
      <c r="H176" s="261" t="s">
        <v>177</v>
      </c>
      <c r="I176" s="261" t="s">
        <v>339</v>
      </c>
      <c r="J176" s="202"/>
    </row>
    <row r="177" spans="1:10" ht="21" x14ac:dyDescent="0.45">
      <c r="A177" s="142">
        <v>122</v>
      </c>
      <c r="B177" s="143" t="s">
        <v>730</v>
      </c>
      <c r="C177" s="144" t="s">
        <v>746</v>
      </c>
      <c r="D177" s="145"/>
      <c r="E177" s="146"/>
      <c r="F177" s="147"/>
      <c r="G177" s="146"/>
      <c r="H177" s="145">
        <v>9.5</v>
      </c>
      <c r="I177" s="146"/>
      <c r="J177" s="199"/>
    </row>
    <row r="178" spans="1:10" ht="21" x14ac:dyDescent="0.45">
      <c r="A178" s="142">
        <v>123</v>
      </c>
      <c r="B178" s="143" t="s">
        <v>747</v>
      </c>
      <c r="C178" s="144" t="s">
        <v>748</v>
      </c>
      <c r="D178" s="145"/>
      <c r="E178" s="146"/>
      <c r="F178" s="147"/>
      <c r="G178" s="146"/>
      <c r="H178" s="145">
        <v>5.7</v>
      </c>
      <c r="I178" s="146" t="s">
        <v>969</v>
      </c>
      <c r="J178" s="199"/>
    </row>
    <row r="179" spans="1:10" ht="21" x14ac:dyDescent="0.45">
      <c r="A179" s="137">
        <v>124</v>
      </c>
      <c r="B179" s="143" t="s">
        <v>749</v>
      </c>
      <c r="C179" s="144" t="s">
        <v>750</v>
      </c>
      <c r="D179" s="147"/>
      <c r="E179" s="146"/>
      <c r="F179" s="145"/>
      <c r="G179" s="146"/>
      <c r="H179" s="145">
        <v>20.9</v>
      </c>
      <c r="I179" s="146"/>
      <c r="J179" s="199"/>
    </row>
    <row r="180" spans="1:10" ht="21" x14ac:dyDescent="0.45">
      <c r="A180" s="142">
        <v>125</v>
      </c>
      <c r="B180" s="143" t="s">
        <v>751</v>
      </c>
      <c r="C180" s="144" t="s">
        <v>752</v>
      </c>
      <c r="D180" s="145"/>
      <c r="E180" s="146"/>
      <c r="F180" s="145"/>
      <c r="G180" s="146"/>
      <c r="H180" s="145">
        <v>9.5</v>
      </c>
      <c r="I180" s="146"/>
      <c r="J180" s="199"/>
    </row>
    <row r="181" spans="1:10" ht="21" x14ac:dyDescent="0.45">
      <c r="A181" s="142">
        <v>126</v>
      </c>
      <c r="B181" s="143" t="s">
        <v>753</v>
      </c>
      <c r="C181" s="144" t="s">
        <v>754</v>
      </c>
      <c r="D181" s="145"/>
      <c r="E181" s="146"/>
      <c r="F181" s="147"/>
      <c r="G181" s="146"/>
      <c r="H181" s="145">
        <v>11.4</v>
      </c>
      <c r="I181" s="146"/>
      <c r="J181" s="199"/>
    </row>
    <row r="182" spans="1:10" ht="21" x14ac:dyDescent="0.45">
      <c r="A182" s="137">
        <v>127</v>
      </c>
      <c r="B182" s="143" t="s">
        <v>755</v>
      </c>
      <c r="C182" s="144" t="s">
        <v>756</v>
      </c>
      <c r="D182" s="145"/>
      <c r="E182" s="146"/>
      <c r="F182" s="147"/>
      <c r="G182" s="146"/>
      <c r="H182" s="145">
        <v>10.45</v>
      </c>
      <c r="I182" s="146"/>
      <c r="J182" s="199"/>
    </row>
    <row r="183" spans="1:10" ht="21" x14ac:dyDescent="0.45">
      <c r="A183" s="142">
        <v>128</v>
      </c>
      <c r="B183" s="148" t="s">
        <v>757</v>
      </c>
      <c r="C183" s="149" t="s">
        <v>619</v>
      </c>
      <c r="D183" s="150"/>
      <c r="E183" s="151"/>
      <c r="F183" s="152"/>
      <c r="G183" s="151"/>
      <c r="H183" s="152">
        <v>71.25</v>
      </c>
      <c r="I183" s="151"/>
      <c r="J183" s="200"/>
    </row>
    <row r="184" spans="1:10" ht="21" x14ac:dyDescent="0.45">
      <c r="A184" s="142">
        <v>129</v>
      </c>
      <c r="B184" s="143" t="s">
        <v>758</v>
      </c>
      <c r="C184" s="144" t="s">
        <v>759</v>
      </c>
      <c r="D184" s="147"/>
      <c r="E184" s="146"/>
      <c r="F184" s="145"/>
      <c r="G184" s="146"/>
      <c r="H184" s="145">
        <v>4.75</v>
      </c>
      <c r="I184" s="146"/>
      <c r="J184" s="199"/>
    </row>
    <row r="185" spans="1:10" ht="21" x14ac:dyDescent="0.45">
      <c r="A185" s="137">
        <v>130</v>
      </c>
      <c r="B185" s="143" t="s">
        <v>760</v>
      </c>
      <c r="C185" s="144" t="s">
        <v>650</v>
      </c>
      <c r="D185" s="145"/>
      <c r="E185" s="146"/>
      <c r="F185" s="145"/>
      <c r="G185" s="146"/>
      <c r="H185" s="145">
        <v>7.6</v>
      </c>
      <c r="I185" s="146"/>
      <c r="J185" s="199"/>
    </row>
    <row r="186" spans="1:10" ht="21" x14ac:dyDescent="0.45">
      <c r="A186" s="142">
        <v>131</v>
      </c>
      <c r="B186" s="143" t="s">
        <v>761</v>
      </c>
      <c r="C186" s="144" t="s">
        <v>570</v>
      </c>
      <c r="D186" s="145"/>
      <c r="E186" s="146"/>
      <c r="F186" s="147"/>
      <c r="G186" s="146"/>
      <c r="H186" s="145">
        <v>7.6</v>
      </c>
      <c r="I186" s="146"/>
      <c r="J186" s="199"/>
    </row>
    <row r="187" spans="1:10" ht="21" x14ac:dyDescent="0.45">
      <c r="A187" s="142">
        <v>132</v>
      </c>
      <c r="B187" s="143" t="s">
        <v>762</v>
      </c>
      <c r="C187" s="144" t="s">
        <v>570</v>
      </c>
      <c r="D187" s="145"/>
      <c r="E187" s="146"/>
      <c r="F187" s="147"/>
      <c r="G187" s="146"/>
      <c r="H187" s="145">
        <v>88.35</v>
      </c>
      <c r="I187" s="146" t="s">
        <v>969</v>
      </c>
      <c r="J187" s="199"/>
    </row>
    <row r="188" spans="1:10" ht="21" x14ac:dyDescent="0.45">
      <c r="A188" s="137">
        <v>133</v>
      </c>
      <c r="B188" s="143" t="s">
        <v>763</v>
      </c>
      <c r="C188" s="144" t="s">
        <v>570</v>
      </c>
      <c r="D188" s="147"/>
      <c r="E188" s="146"/>
      <c r="F188" s="145"/>
      <c r="G188" s="146"/>
      <c r="H188" s="145">
        <v>4.75</v>
      </c>
      <c r="I188" s="146"/>
      <c r="J188" s="199"/>
    </row>
    <row r="189" spans="1:10" ht="21" x14ac:dyDescent="0.45">
      <c r="A189" s="142">
        <v>134</v>
      </c>
      <c r="B189" s="143" t="s">
        <v>764</v>
      </c>
      <c r="C189" s="144" t="s">
        <v>765</v>
      </c>
      <c r="D189" s="145"/>
      <c r="E189" s="146"/>
      <c r="F189" s="145"/>
      <c r="G189" s="146"/>
      <c r="H189" s="145">
        <v>11.4</v>
      </c>
      <c r="I189" s="146"/>
      <c r="J189" s="199"/>
    </row>
    <row r="190" spans="1:10" ht="21" x14ac:dyDescent="0.45">
      <c r="A190" s="142">
        <v>135</v>
      </c>
      <c r="B190" s="143" t="s">
        <v>766</v>
      </c>
      <c r="C190" s="144" t="s">
        <v>767</v>
      </c>
      <c r="D190" s="145"/>
      <c r="E190" s="146"/>
      <c r="F190" s="147"/>
      <c r="G190" s="146"/>
      <c r="H190" s="145">
        <v>8.5500000000000007</v>
      </c>
      <c r="I190" s="146"/>
      <c r="J190" s="199"/>
    </row>
    <row r="191" spans="1:10" ht="21" x14ac:dyDescent="0.45">
      <c r="A191" s="137">
        <v>136</v>
      </c>
      <c r="B191" s="143" t="s">
        <v>768</v>
      </c>
      <c r="C191" s="144" t="s">
        <v>769</v>
      </c>
      <c r="D191" s="145"/>
      <c r="E191" s="146"/>
      <c r="F191" s="147"/>
      <c r="G191" s="146"/>
      <c r="H191" s="145">
        <v>4.75</v>
      </c>
      <c r="I191" s="146"/>
      <c r="J191" s="199"/>
    </row>
    <row r="192" spans="1:10" ht="21" x14ac:dyDescent="0.45">
      <c r="A192" s="142">
        <v>137</v>
      </c>
      <c r="B192" s="143" t="s">
        <v>770</v>
      </c>
      <c r="C192" s="144" t="s">
        <v>771</v>
      </c>
      <c r="D192" s="147"/>
      <c r="E192" s="146"/>
      <c r="F192" s="145"/>
      <c r="G192" s="146"/>
      <c r="H192" s="145">
        <v>95</v>
      </c>
      <c r="I192" s="146"/>
      <c r="J192" s="199"/>
    </row>
    <row r="193" spans="1:10" ht="21" x14ac:dyDescent="0.45">
      <c r="A193" s="142">
        <v>138</v>
      </c>
      <c r="B193" s="143" t="s">
        <v>772</v>
      </c>
      <c r="C193" s="144" t="s">
        <v>570</v>
      </c>
      <c r="D193" s="147"/>
      <c r="E193" s="146"/>
      <c r="F193" s="145"/>
      <c r="G193" s="146"/>
      <c r="H193" s="145">
        <v>4.75</v>
      </c>
      <c r="I193" s="146"/>
      <c r="J193" s="199"/>
    </row>
    <row r="194" spans="1:10" ht="21" x14ac:dyDescent="0.45">
      <c r="A194" s="137">
        <v>139</v>
      </c>
      <c r="B194" s="143" t="s">
        <v>773</v>
      </c>
      <c r="C194" s="144" t="s">
        <v>675</v>
      </c>
      <c r="D194" s="145"/>
      <c r="E194" s="146"/>
      <c r="F194" s="145"/>
      <c r="G194" s="146"/>
      <c r="H194" s="145">
        <v>14.25</v>
      </c>
      <c r="I194" s="146"/>
      <c r="J194" s="199"/>
    </row>
    <row r="195" spans="1:10" ht="21" x14ac:dyDescent="0.45">
      <c r="A195" s="142">
        <v>140</v>
      </c>
      <c r="B195" s="143" t="s">
        <v>774</v>
      </c>
      <c r="C195" s="144" t="s">
        <v>775</v>
      </c>
      <c r="D195" s="147"/>
      <c r="E195" s="146"/>
      <c r="F195" s="145"/>
      <c r="G195" s="146"/>
      <c r="H195" s="145">
        <v>14.25</v>
      </c>
      <c r="I195" s="146"/>
      <c r="J195" s="199"/>
    </row>
    <row r="196" spans="1:10" ht="21" x14ac:dyDescent="0.45">
      <c r="A196" s="142">
        <v>141</v>
      </c>
      <c r="B196" s="143" t="s">
        <v>776</v>
      </c>
      <c r="C196" s="144" t="s">
        <v>777</v>
      </c>
      <c r="D196" s="145"/>
      <c r="E196" s="146"/>
      <c r="F196" s="145"/>
      <c r="G196" s="146"/>
      <c r="H196" s="145">
        <v>31.35</v>
      </c>
      <c r="I196" s="146"/>
      <c r="J196" s="199"/>
    </row>
    <row r="197" spans="1:10" ht="21" x14ac:dyDescent="0.45">
      <c r="A197" s="137">
        <v>142</v>
      </c>
      <c r="B197" s="143" t="s">
        <v>779</v>
      </c>
      <c r="C197" s="144" t="s">
        <v>780</v>
      </c>
      <c r="D197" s="145"/>
      <c r="E197" s="146"/>
      <c r="F197" s="147"/>
      <c r="G197" s="146"/>
      <c r="H197" s="145">
        <v>4.75</v>
      </c>
      <c r="I197" s="146" t="s">
        <v>969</v>
      </c>
      <c r="J197" s="199"/>
    </row>
    <row r="198" spans="1:10" ht="21" x14ac:dyDescent="0.45">
      <c r="A198" s="142">
        <v>143</v>
      </c>
      <c r="B198" s="143" t="s">
        <v>781</v>
      </c>
      <c r="C198" s="144" t="s">
        <v>782</v>
      </c>
      <c r="D198" s="147"/>
      <c r="E198" s="146"/>
      <c r="F198" s="145"/>
      <c r="G198" s="146"/>
      <c r="H198" s="145">
        <v>19</v>
      </c>
      <c r="I198" s="146"/>
      <c r="J198" s="199"/>
    </row>
    <row r="199" spans="1:10" ht="21" x14ac:dyDescent="0.45">
      <c r="A199" s="142">
        <v>144</v>
      </c>
      <c r="B199" s="143" t="s">
        <v>770</v>
      </c>
      <c r="C199" s="144" t="s">
        <v>783</v>
      </c>
      <c r="D199" s="145"/>
      <c r="E199" s="146"/>
      <c r="F199" s="145"/>
      <c r="G199" s="146"/>
      <c r="H199" s="145">
        <v>14.25</v>
      </c>
      <c r="I199" s="146"/>
      <c r="J199" s="199"/>
    </row>
    <row r="200" spans="1:10" ht="21" x14ac:dyDescent="0.45">
      <c r="A200" s="137">
        <v>145</v>
      </c>
      <c r="B200" s="143" t="s">
        <v>784</v>
      </c>
      <c r="C200" s="144" t="s">
        <v>785</v>
      </c>
      <c r="D200" s="145"/>
      <c r="E200" s="146"/>
      <c r="F200" s="147"/>
      <c r="G200" s="146"/>
      <c r="H200" s="145">
        <v>104.5</v>
      </c>
      <c r="I200" s="146"/>
      <c r="J200" s="199"/>
    </row>
    <row r="201" spans="1:10" ht="21" x14ac:dyDescent="0.45">
      <c r="A201" s="142">
        <v>146</v>
      </c>
      <c r="B201" s="143" t="s">
        <v>786</v>
      </c>
      <c r="C201" s="144" t="s">
        <v>787</v>
      </c>
      <c r="D201" s="147"/>
      <c r="E201" s="146"/>
      <c r="F201" s="145"/>
      <c r="G201" s="146"/>
      <c r="H201" s="145">
        <v>589</v>
      </c>
      <c r="I201" s="146"/>
      <c r="J201" s="199"/>
    </row>
    <row r="202" spans="1:10" ht="21" x14ac:dyDescent="0.45">
      <c r="A202" s="142">
        <v>147</v>
      </c>
      <c r="B202" s="143" t="s">
        <v>788</v>
      </c>
      <c r="C202" s="144" t="s">
        <v>789</v>
      </c>
      <c r="D202" s="147"/>
      <c r="E202" s="146"/>
      <c r="F202" s="145"/>
      <c r="G202" s="146"/>
      <c r="H202" s="145">
        <v>9.5</v>
      </c>
      <c r="I202" s="146"/>
      <c r="J202" s="199"/>
    </row>
    <row r="203" spans="1:10" ht="21" x14ac:dyDescent="0.45">
      <c r="A203" s="137">
        <v>148</v>
      </c>
      <c r="B203" s="143" t="s">
        <v>790</v>
      </c>
      <c r="C203" s="144" t="s">
        <v>791</v>
      </c>
      <c r="D203" s="145"/>
      <c r="E203" s="146"/>
      <c r="F203" s="145"/>
      <c r="G203" s="146"/>
      <c r="H203" s="145">
        <v>9.5</v>
      </c>
      <c r="I203" s="146"/>
      <c r="J203" s="199"/>
    </row>
    <row r="204" spans="1:10" ht="21" x14ac:dyDescent="0.45">
      <c r="A204" s="142">
        <v>149</v>
      </c>
      <c r="B204" s="143" t="s">
        <v>567</v>
      </c>
      <c r="C204" s="144" t="s">
        <v>792</v>
      </c>
      <c r="D204" s="147"/>
      <c r="E204" s="146"/>
      <c r="F204" s="145"/>
      <c r="G204" s="146"/>
      <c r="H204" s="145">
        <v>6.65</v>
      </c>
      <c r="I204" s="146"/>
      <c r="J204" s="199"/>
    </row>
    <row r="205" spans="1:10" ht="21" x14ac:dyDescent="0.45">
      <c r="A205" s="142">
        <v>150</v>
      </c>
      <c r="B205" s="143" t="s">
        <v>793</v>
      </c>
      <c r="C205" s="144" t="s">
        <v>794</v>
      </c>
      <c r="D205" s="145"/>
      <c r="E205" s="146"/>
      <c r="F205" s="145"/>
      <c r="G205" s="146"/>
      <c r="H205" s="145">
        <v>71.25</v>
      </c>
      <c r="I205" s="146"/>
      <c r="J205" s="199"/>
    </row>
    <row r="206" spans="1:10" ht="21" x14ac:dyDescent="0.45">
      <c r="A206" s="137">
        <v>151</v>
      </c>
      <c r="B206" s="143" t="s">
        <v>795</v>
      </c>
      <c r="C206" s="144" t="s">
        <v>648</v>
      </c>
      <c r="D206" s="145"/>
      <c r="E206" s="146"/>
      <c r="F206" s="147"/>
      <c r="G206" s="146"/>
      <c r="H206" s="145">
        <v>9.5</v>
      </c>
      <c r="I206" s="146"/>
      <c r="J206" s="199"/>
    </row>
    <row r="207" spans="1:10" ht="21" x14ac:dyDescent="0.45">
      <c r="A207" s="142">
        <v>152</v>
      </c>
      <c r="B207" s="143" t="s">
        <v>796</v>
      </c>
      <c r="C207" s="144" t="s">
        <v>661</v>
      </c>
      <c r="D207" s="145"/>
      <c r="E207" s="146"/>
      <c r="F207" s="147"/>
      <c r="G207" s="146"/>
      <c r="H207" s="145">
        <v>13.3</v>
      </c>
      <c r="I207" s="146" t="s">
        <v>969</v>
      </c>
      <c r="J207" s="199"/>
    </row>
    <row r="208" spans="1:10" ht="21" x14ac:dyDescent="0.45">
      <c r="A208" s="142">
        <v>153</v>
      </c>
      <c r="B208" s="143" t="s">
        <v>797</v>
      </c>
      <c r="C208" s="144" t="s">
        <v>798</v>
      </c>
      <c r="D208" s="145"/>
      <c r="E208" s="146"/>
      <c r="F208" s="145"/>
      <c r="G208" s="146"/>
      <c r="H208" s="145">
        <v>31.35</v>
      </c>
      <c r="I208" s="146"/>
      <c r="J208" s="199"/>
    </row>
    <row r="209" spans="1:10" ht="21" x14ac:dyDescent="0.45">
      <c r="A209" s="137">
        <v>154</v>
      </c>
      <c r="B209" s="143" t="s">
        <v>799</v>
      </c>
      <c r="C209" s="144" t="s">
        <v>800</v>
      </c>
      <c r="D209" s="145"/>
      <c r="E209" s="146"/>
      <c r="F209" s="147"/>
      <c r="G209" s="146"/>
      <c r="H209" s="145">
        <v>7.6</v>
      </c>
      <c r="I209" s="146"/>
      <c r="J209" s="199"/>
    </row>
    <row r="210" spans="1:10" ht="21" x14ac:dyDescent="0.45">
      <c r="A210" s="201" t="s">
        <v>184</v>
      </c>
      <c r="B210" s="203" t="s">
        <v>337</v>
      </c>
      <c r="C210" s="204"/>
      <c r="D210" s="94" t="s">
        <v>163</v>
      </c>
      <c r="E210" s="261"/>
      <c r="F210" s="261" t="s">
        <v>165</v>
      </c>
      <c r="G210" s="261"/>
      <c r="H210" s="261" t="s">
        <v>164</v>
      </c>
      <c r="I210" s="261"/>
      <c r="J210" s="201" t="s">
        <v>50</v>
      </c>
    </row>
    <row r="211" spans="1:10" ht="21" x14ac:dyDescent="0.45">
      <c r="A211" s="202"/>
      <c r="B211" s="205"/>
      <c r="C211" s="206"/>
      <c r="D211" s="261" t="s">
        <v>177</v>
      </c>
      <c r="E211" s="261" t="s">
        <v>339</v>
      </c>
      <c r="F211" s="261" t="s">
        <v>177</v>
      </c>
      <c r="G211" s="261" t="s">
        <v>339</v>
      </c>
      <c r="H211" s="261" t="s">
        <v>177</v>
      </c>
      <c r="I211" s="261" t="s">
        <v>339</v>
      </c>
      <c r="J211" s="202"/>
    </row>
    <row r="212" spans="1:10" ht="21" x14ac:dyDescent="0.45">
      <c r="A212" s="142">
        <v>155</v>
      </c>
      <c r="B212" s="143" t="s">
        <v>801</v>
      </c>
      <c r="C212" s="144" t="s">
        <v>802</v>
      </c>
      <c r="D212" s="147"/>
      <c r="E212" s="146"/>
      <c r="F212" s="145"/>
      <c r="G212" s="146"/>
      <c r="H212" s="145">
        <v>9.5</v>
      </c>
      <c r="I212" s="146"/>
      <c r="J212" s="199"/>
    </row>
    <row r="213" spans="1:10" ht="21" x14ac:dyDescent="0.45">
      <c r="A213" s="142">
        <v>156</v>
      </c>
      <c r="B213" s="143" t="s">
        <v>803</v>
      </c>
      <c r="C213" s="144" t="s">
        <v>691</v>
      </c>
      <c r="D213" s="147"/>
      <c r="E213" s="146"/>
      <c r="F213" s="145"/>
      <c r="G213" s="146"/>
      <c r="H213" s="145">
        <v>4.75</v>
      </c>
      <c r="I213" s="146"/>
      <c r="J213" s="199"/>
    </row>
    <row r="214" spans="1:10" ht="21" x14ac:dyDescent="0.45">
      <c r="A214" s="137">
        <v>157</v>
      </c>
      <c r="B214" s="143" t="s">
        <v>804</v>
      </c>
      <c r="C214" s="144" t="s">
        <v>661</v>
      </c>
      <c r="D214" s="145"/>
      <c r="E214" s="146"/>
      <c r="F214" s="145"/>
      <c r="G214" s="146"/>
      <c r="H214" s="145">
        <v>40.85</v>
      </c>
      <c r="I214" s="146"/>
      <c r="J214" s="199"/>
    </row>
    <row r="215" spans="1:10" ht="21" x14ac:dyDescent="0.45">
      <c r="A215" s="142">
        <v>158</v>
      </c>
      <c r="B215" s="143" t="s">
        <v>805</v>
      </c>
      <c r="C215" s="144" t="s">
        <v>806</v>
      </c>
      <c r="D215" s="147"/>
      <c r="E215" s="146"/>
      <c r="F215" s="145"/>
      <c r="G215" s="146"/>
      <c r="H215" s="145">
        <v>42.75</v>
      </c>
      <c r="I215" s="146"/>
      <c r="J215" s="199"/>
    </row>
    <row r="216" spans="1:10" ht="21" x14ac:dyDescent="0.45">
      <c r="A216" s="142">
        <v>159</v>
      </c>
      <c r="B216" s="143" t="s">
        <v>807</v>
      </c>
      <c r="C216" s="144" t="s">
        <v>778</v>
      </c>
      <c r="D216" s="145"/>
      <c r="E216" s="146"/>
      <c r="F216" s="145"/>
      <c r="G216" s="146"/>
      <c r="H216" s="145">
        <v>4.75</v>
      </c>
      <c r="I216" s="146"/>
      <c r="J216" s="199"/>
    </row>
    <row r="217" spans="1:10" ht="21" x14ac:dyDescent="0.45">
      <c r="A217" s="137">
        <v>160</v>
      </c>
      <c r="B217" s="143" t="s">
        <v>808</v>
      </c>
      <c r="C217" s="144" t="s">
        <v>809</v>
      </c>
      <c r="D217" s="145"/>
      <c r="E217" s="146"/>
      <c r="F217" s="147"/>
      <c r="G217" s="146"/>
      <c r="H217" s="145">
        <v>15.2</v>
      </c>
      <c r="I217" s="146"/>
      <c r="J217" s="199"/>
    </row>
    <row r="218" spans="1:10" ht="21" x14ac:dyDescent="0.45">
      <c r="A218" s="142">
        <v>161</v>
      </c>
      <c r="B218" s="148" t="s">
        <v>810</v>
      </c>
      <c r="C218" s="149" t="s">
        <v>811</v>
      </c>
      <c r="D218" s="152"/>
      <c r="E218" s="151"/>
      <c r="F218" s="150"/>
      <c r="G218" s="151"/>
      <c r="H218" s="152">
        <v>356.25</v>
      </c>
      <c r="I218" s="151" t="s">
        <v>969</v>
      </c>
      <c r="J218" s="200"/>
    </row>
    <row r="219" spans="1:10" ht="21" x14ac:dyDescent="0.45">
      <c r="A219" s="142">
        <v>162</v>
      </c>
      <c r="B219" s="143" t="s">
        <v>812</v>
      </c>
      <c r="C219" s="144" t="s">
        <v>813</v>
      </c>
      <c r="D219" s="147"/>
      <c r="E219" s="146"/>
      <c r="F219" s="145"/>
      <c r="G219" s="146"/>
      <c r="H219" s="145">
        <v>14.25</v>
      </c>
      <c r="I219" s="146"/>
      <c r="J219" s="199"/>
    </row>
    <row r="220" spans="1:10" ht="21" x14ac:dyDescent="0.45">
      <c r="A220" s="137">
        <v>163</v>
      </c>
      <c r="B220" s="143" t="s">
        <v>814</v>
      </c>
      <c r="C220" s="144" t="s">
        <v>815</v>
      </c>
      <c r="D220" s="145"/>
      <c r="E220" s="146"/>
      <c r="F220" s="145"/>
      <c r="G220" s="146"/>
      <c r="H220" s="145">
        <v>9.5</v>
      </c>
      <c r="I220" s="146"/>
      <c r="J220" s="199"/>
    </row>
    <row r="221" spans="1:10" ht="21" x14ac:dyDescent="0.45">
      <c r="A221" s="142">
        <v>164</v>
      </c>
      <c r="B221" s="143" t="s">
        <v>816</v>
      </c>
      <c r="C221" s="144" t="s">
        <v>817</v>
      </c>
      <c r="D221" s="145"/>
      <c r="E221" s="146"/>
      <c r="F221" s="147"/>
      <c r="G221" s="146"/>
      <c r="H221" s="145">
        <v>27.55</v>
      </c>
      <c r="I221" s="146"/>
      <c r="J221" s="199"/>
    </row>
    <row r="222" spans="1:10" ht="21" x14ac:dyDescent="0.45">
      <c r="A222" s="142">
        <v>165</v>
      </c>
      <c r="B222" s="143" t="s">
        <v>818</v>
      </c>
      <c r="C222" s="144" t="s">
        <v>819</v>
      </c>
      <c r="D222" s="145"/>
      <c r="E222" s="146"/>
      <c r="F222" s="147"/>
      <c r="G222" s="146"/>
      <c r="H222" s="145">
        <v>22.8</v>
      </c>
      <c r="I222" s="146"/>
      <c r="J222" s="199"/>
    </row>
    <row r="223" spans="1:10" ht="21" x14ac:dyDescent="0.45">
      <c r="A223" s="137">
        <v>166</v>
      </c>
      <c r="B223" s="143" t="s">
        <v>820</v>
      </c>
      <c r="C223" s="144" t="s">
        <v>821</v>
      </c>
      <c r="D223" s="147"/>
      <c r="E223" s="146"/>
      <c r="F223" s="145"/>
      <c r="G223" s="146"/>
      <c r="H223" s="145">
        <v>16.149999999999999</v>
      </c>
      <c r="I223" s="146"/>
      <c r="J223" s="199"/>
    </row>
    <row r="224" spans="1:10" ht="21" x14ac:dyDescent="0.45">
      <c r="A224" s="142">
        <v>167</v>
      </c>
      <c r="B224" s="143" t="s">
        <v>822</v>
      </c>
      <c r="C224" s="144" t="s">
        <v>823</v>
      </c>
      <c r="D224" s="147"/>
      <c r="E224" s="146"/>
      <c r="F224" s="145"/>
      <c r="G224" s="146"/>
      <c r="H224" s="145">
        <v>49.4</v>
      </c>
      <c r="I224" s="146"/>
      <c r="J224" s="199"/>
    </row>
    <row r="225" spans="1:10" ht="21" x14ac:dyDescent="0.45">
      <c r="A225" s="142">
        <v>168</v>
      </c>
      <c r="B225" s="143" t="s">
        <v>824</v>
      </c>
      <c r="C225" s="144" t="s">
        <v>782</v>
      </c>
      <c r="D225" s="145"/>
      <c r="E225" s="146"/>
      <c r="F225" s="145"/>
      <c r="G225" s="146"/>
      <c r="H225" s="145">
        <v>24.7</v>
      </c>
      <c r="I225" s="146"/>
      <c r="J225" s="199"/>
    </row>
    <row r="226" spans="1:10" ht="21" x14ac:dyDescent="0.45">
      <c r="A226" s="137">
        <v>169</v>
      </c>
      <c r="B226" s="143" t="s">
        <v>825</v>
      </c>
      <c r="C226" s="144" t="s">
        <v>826</v>
      </c>
      <c r="D226" s="147"/>
      <c r="E226" s="146"/>
      <c r="F226" s="145"/>
      <c r="G226" s="146"/>
      <c r="H226" s="145">
        <v>15.2</v>
      </c>
      <c r="I226" s="146"/>
      <c r="J226" s="199"/>
    </row>
    <row r="227" spans="1:10" ht="21" x14ac:dyDescent="0.45">
      <c r="A227" s="142">
        <v>170</v>
      </c>
      <c r="B227" s="143" t="s">
        <v>827</v>
      </c>
      <c r="C227" s="144" t="s">
        <v>735</v>
      </c>
      <c r="D227" s="145"/>
      <c r="E227" s="146"/>
      <c r="F227" s="145"/>
      <c r="G227" s="146"/>
      <c r="H227" s="145">
        <v>9.5</v>
      </c>
      <c r="I227" s="146"/>
      <c r="J227" s="199"/>
    </row>
    <row r="228" spans="1:10" ht="21" x14ac:dyDescent="0.45">
      <c r="A228" s="142">
        <v>171</v>
      </c>
      <c r="B228" s="143" t="s">
        <v>828</v>
      </c>
      <c r="C228" s="144" t="s">
        <v>829</v>
      </c>
      <c r="D228" s="145"/>
      <c r="E228" s="146"/>
      <c r="F228" s="147"/>
      <c r="G228" s="146"/>
      <c r="H228" s="145">
        <v>52.25</v>
      </c>
      <c r="I228" s="146"/>
      <c r="J228" s="199"/>
    </row>
    <row r="229" spans="1:10" ht="21" x14ac:dyDescent="0.45">
      <c r="A229" s="137">
        <v>172</v>
      </c>
      <c r="B229" s="143" t="s">
        <v>830</v>
      </c>
      <c r="C229" s="144" t="s">
        <v>831</v>
      </c>
      <c r="D229" s="145"/>
      <c r="E229" s="146"/>
      <c r="F229" s="147"/>
      <c r="G229" s="146"/>
      <c r="H229" s="145">
        <v>38.950000000000003</v>
      </c>
      <c r="I229" s="146" t="s">
        <v>969</v>
      </c>
      <c r="J229" s="199"/>
    </row>
    <row r="230" spans="1:10" ht="21" x14ac:dyDescent="0.45">
      <c r="A230" s="142">
        <v>173</v>
      </c>
      <c r="B230" s="143" t="s">
        <v>832</v>
      </c>
      <c r="C230" s="144" t="s">
        <v>650</v>
      </c>
      <c r="D230" s="147"/>
      <c r="E230" s="146"/>
      <c r="F230" s="145"/>
      <c r="G230" s="146"/>
      <c r="H230" s="145">
        <v>14.25</v>
      </c>
      <c r="I230" s="146"/>
      <c r="J230" s="199"/>
    </row>
    <row r="231" spans="1:10" ht="21" x14ac:dyDescent="0.45">
      <c r="A231" s="142">
        <v>174</v>
      </c>
      <c r="B231" s="143" t="s">
        <v>816</v>
      </c>
      <c r="C231" s="144" t="s">
        <v>833</v>
      </c>
      <c r="D231" s="145"/>
      <c r="E231" s="146"/>
      <c r="F231" s="145"/>
      <c r="G231" s="146"/>
      <c r="H231" s="145">
        <v>8.5500000000000007</v>
      </c>
      <c r="I231" s="146"/>
      <c r="J231" s="199"/>
    </row>
    <row r="232" spans="1:10" ht="21" x14ac:dyDescent="0.45">
      <c r="A232" s="137">
        <v>175</v>
      </c>
      <c r="B232" s="143" t="s">
        <v>834</v>
      </c>
      <c r="C232" s="144" t="s">
        <v>835</v>
      </c>
      <c r="D232" s="145"/>
      <c r="E232" s="146"/>
      <c r="F232" s="147"/>
      <c r="G232" s="146"/>
      <c r="H232" s="145">
        <v>11.4</v>
      </c>
      <c r="I232" s="146"/>
      <c r="J232" s="199"/>
    </row>
    <row r="233" spans="1:10" ht="21" x14ac:dyDescent="0.45">
      <c r="A233" s="142">
        <v>176</v>
      </c>
      <c r="B233" s="143" t="s">
        <v>836</v>
      </c>
      <c r="C233" s="144" t="s">
        <v>663</v>
      </c>
      <c r="D233" s="145"/>
      <c r="E233" s="146"/>
      <c r="F233" s="147"/>
      <c r="G233" s="146"/>
      <c r="H233" s="145">
        <v>30.4</v>
      </c>
      <c r="I233" s="146"/>
      <c r="J233" s="199"/>
    </row>
    <row r="234" spans="1:10" ht="21" x14ac:dyDescent="0.45">
      <c r="A234" s="142">
        <v>177</v>
      </c>
      <c r="B234" s="143" t="s">
        <v>837</v>
      </c>
      <c r="C234" s="144" t="s">
        <v>659</v>
      </c>
      <c r="D234" s="147"/>
      <c r="E234" s="146"/>
      <c r="F234" s="145"/>
      <c r="G234" s="146"/>
      <c r="H234" s="145">
        <v>9.5</v>
      </c>
      <c r="I234" s="146"/>
      <c r="J234" s="199"/>
    </row>
    <row r="235" spans="1:10" ht="21" x14ac:dyDescent="0.45">
      <c r="A235" s="137">
        <v>178</v>
      </c>
      <c r="B235" s="143" t="s">
        <v>838</v>
      </c>
      <c r="C235" s="144" t="s">
        <v>650</v>
      </c>
      <c r="D235" s="147"/>
      <c r="E235" s="146"/>
      <c r="F235" s="145"/>
      <c r="G235" s="146"/>
      <c r="H235" s="145">
        <v>4.75</v>
      </c>
      <c r="I235" s="146"/>
      <c r="J235" s="199"/>
    </row>
    <row r="236" spans="1:10" ht="21" x14ac:dyDescent="0.45">
      <c r="A236" s="142">
        <v>179</v>
      </c>
      <c r="B236" s="143" t="s">
        <v>839</v>
      </c>
      <c r="C236" s="144" t="s">
        <v>840</v>
      </c>
      <c r="D236" s="145"/>
      <c r="E236" s="146"/>
      <c r="F236" s="145"/>
      <c r="G236" s="146"/>
      <c r="H236" s="145">
        <v>9.5</v>
      </c>
      <c r="I236" s="146"/>
      <c r="J236" s="199"/>
    </row>
    <row r="237" spans="1:10" ht="21" x14ac:dyDescent="0.45">
      <c r="A237" s="142">
        <v>180</v>
      </c>
      <c r="B237" s="143" t="s">
        <v>841</v>
      </c>
      <c r="C237" s="144" t="s">
        <v>842</v>
      </c>
      <c r="D237" s="147"/>
      <c r="E237" s="146"/>
      <c r="F237" s="145"/>
      <c r="G237" s="146"/>
      <c r="H237" s="145">
        <v>55.1</v>
      </c>
      <c r="I237" s="146"/>
      <c r="J237" s="199"/>
    </row>
    <row r="238" spans="1:10" ht="21" x14ac:dyDescent="0.45">
      <c r="A238" s="137">
        <v>181</v>
      </c>
      <c r="B238" s="143" t="s">
        <v>843</v>
      </c>
      <c r="C238" s="144" t="s">
        <v>844</v>
      </c>
      <c r="D238" s="145"/>
      <c r="E238" s="146"/>
      <c r="F238" s="145"/>
      <c r="G238" s="146"/>
      <c r="H238" s="145">
        <v>90.25</v>
      </c>
      <c r="I238" s="146"/>
      <c r="J238" s="199"/>
    </row>
    <row r="239" spans="1:10" ht="21" x14ac:dyDescent="0.45">
      <c r="A239" s="142">
        <v>182</v>
      </c>
      <c r="B239" s="143" t="s">
        <v>845</v>
      </c>
      <c r="C239" s="144" t="s">
        <v>846</v>
      </c>
      <c r="D239" s="145"/>
      <c r="E239" s="146"/>
      <c r="F239" s="147"/>
      <c r="G239" s="146"/>
      <c r="H239" s="145">
        <v>22.8</v>
      </c>
      <c r="I239" s="146"/>
      <c r="J239" s="199"/>
    </row>
    <row r="240" spans="1:10" ht="21" x14ac:dyDescent="0.45">
      <c r="A240" s="142">
        <v>183</v>
      </c>
      <c r="B240" s="143" t="s">
        <v>847</v>
      </c>
      <c r="C240" s="144" t="s">
        <v>848</v>
      </c>
      <c r="D240" s="145"/>
      <c r="E240" s="146"/>
      <c r="F240" s="147"/>
      <c r="G240" s="146"/>
      <c r="H240" s="145">
        <v>12.35</v>
      </c>
      <c r="I240" s="146" t="s">
        <v>969</v>
      </c>
      <c r="J240" s="199"/>
    </row>
    <row r="241" spans="1:10" ht="21" x14ac:dyDescent="0.45">
      <c r="A241" s="137">
        <v>184</v>
      </c>
      <c r="B241" s="143" t="s">
        <v>849</v>
      </c>
      <c r="C241" s="144" t="s">
        <v>850</v>
      </c>
      <c r="D241" s="145"/>
      <c r="E241" s="146"/>
      <c r="F241" s="145"/>
      <c r="G241" s="146"/>
      <c r="H241" s="145">
        <v>15.2</v>
      </c>
      <c r="I241" s="146"/>
      <c r="J241" s="199"/>
    </row>
    <row r="242" spans="1:10" ht="21" x14ac:dyDescent="0.45">
      <c r="A242" s="142">
        <v>185</v>
      </c>
      <c r="B242" s="143" t="s">
        <v>851</v>
      </c>
      <c r="C242" s="144" t="s">
        <v>852</v>
      </c>
      <c r="D242" s="145"/>
      <c r="E242" s="146"/>
      <c r="F242" s="147"/>
      <c r="G242" s="146"/>
      <c r="H242" s="145">
        <v>58.9</v>
      </c>
      <c r="I242" s="146"/>
      <c r="J242" s="199"/>
    </row>
    <row r="243" spans="1:10" ht="21" x14ac:dyDescent="0.45">
      <c r="A243" s="142">
        <v>186</v>
      </c>
      <c r="B243" s="143" t="s">
        <v>853</v>
      </c>
      <c r="C243" s="144" t="s">
        <v>854</v>
      </c>
      <c r="D243" s="145"/>
      <c r="E243" s="146"/>
      <c r="F243" s="147"/>
      <c r="G243" s="146"/>
      <c r="H243" s="145">
        <v>14.25</v>
      </c>
      <c r="I243" s="146"/>
      <c r="J243" s="199"/>
    </row>
    <row r="244" spans="1:10" ht="21" x14ac:dyDescent="0.45">
      <c r="A244" s="137">
        <v>187</v>
      </c>
      <c r="B244" s="143" t="s">
        <v>855</v>
      </c>
      <c r="C244" s="144" t="s">
        <v>745</v>
      </c>
      <c r="D244" s="147"/>
      <c r="E244" s="146"/>
      <c r="F244" s="145"/>
      <c r="G244" s="146"/>
      <c r="H244" s="145">
        <v>37.049999999999997</v>
      </c>
      <c r="I244" s="146"/>
      <c r="J244" s="199"/>
    </row>
    <row r="245" spans="1:10" ht="21" x14ac:dyDescent="0.45">
      <c r="A245" s="201" t="s">
        <v>184</v>
      </c>
      <c r="B245" s="203" t="s">
        <v>337</v>
      </c>
      <c r="C245" s="204"/>
      <c r="D245" s="94" t="s">
        <v>163</v>
      </c>
      <c r="E245" s="261"/>
      <c r="F245" s="261" t="s">
        <v>165</v>
      </c>
      <c r="G245" s="261"/>
      <c r="H245" s="261" t="s">
        <v>164</v>
      </c>
      <c r="I245" s="261"/>
      <c r="J245" s="201" t="s">
        <v>50</v>
      </c>
    </row>
    <row r="246" spans="1:10" ht="21" x14ac:dyDescent="0.45">
      <c r="A246" s="202"/>
      <c r="B246" s="205"/>
      <c r="C246" s="206"/>
      <c r="D246" s="261" t="s">
        <v>177</v>
      </c>
      <c r="E246" s="261" t="s">
        <v>339</v>
      </c>
      <c r="F246" s="261" t="s">
        <v>177</v>
      </c>
      <c r="G246" s="261" t="s">
        <v>339</v>
      </c>
      <c r="H246" s="261" t="s">
        <v>177</v>
      </c>
      <c r="I246" s="261" t="s">
        <v>339</v>
      </c>
      <c r="J246" s="202"/>
    </row>
    <row r="247" spans="1:10" ht="21" x14ac:dyDescent="0.45">
      <c r="A247" s="142">
        <v>188</v>
      </c>
      <c r="B247" s="143" t="s">
        <v>856</v>
      </c>
      <c r="C247" s="144" t="s">
        <v>857</v>
      </c>
      <c r="D247" s="147"/>
      <c r="E247" s="146"/>
      <c r="F247" s="145"/>
      <c r="G247" s="146"/>
      <c r="H247" s="145">
        <v>15.2</v>
      </c>
      <c r="I247" s="146"/>
      <c r="J247" s="199"/>
    </row>
    <row r="248" spans="1:10" ht="21" x14ac:dyDescent="0.45">
      <c r="A248" s="142">
        <v>189</v>
      </c>
      <c r="B248" s="143" t="s">
        <v>858</v>
      </c>
      <c r="C248" s="144" t="s">
        <v>859</v>
      </c>
      <c r="D248" s="145"/>
      <c r="E248" s="146"/>
      <c r="F248" s="145"/>
      <c r="G248" s="146"/>
      <c r="H248" s="145">
        <v>9.5</v>
      </c>
      <c r="I248" s="146"/>
      <c r="J248" s="199"/>
    </row>
    <row r="249" spans="1:10" ht="21" x14ac:dyDescent="0.45">
      <c r="A249" s="137">
        <v>190</v>
      </c>
      <c r="B249" s="143" t="s">
        <v>810</v>
      </c>
      <c r="C249" s="144" t="s">
        <v>570</v>
      </c>
      <c r="D249" s="147"/>
      <c r="E249" s="146"/>
      <c r="F249" s="145"/>
      <c r="G249" s="146"/>
      <c r="H249" s="145">
        <v>89.3</v>
      </c>
      <c r="I249" s="146"/>
      <c r="J249" s="199"/>
    </row>
    <row r="250" spans="1:10" ht="21" x14ac:dyDescent="0.45">
      <c r="A250" s="142">
        <v>191</v>
      </c>
      <c r="B250" s="143" t="s">
        <v>860</v>
      </c>
      <c r="C250" s="144" t="s">
        <v>861</v>
      </c>
      <c r="D250" s="145"/>
      <c r="E250" s="146"/>
      <c r="F250" s="145"/>
      <c r="G250" s="146"/>
      <c r="H250" s="145">
        <v>70.3</v>
      </c>
      <c r="I250" s="146"/>
      <c r="J250" s="199"/>
    </row>
    <row r="251" spans="1:10" ht="21" x14ac:dyDescent="0.45">
      <c r="A251" s="142">
        <v>192</v>
      </c>
      <c r="B251" s="143" t="s">
        <v>862</v>
      </c>
      <c r="C251" s="144" t="s">
        <v>863</v>
      </c>
      <c r="D251" s="145"/>
      <c r="E251" s="146"/>
      <c r="F251" s="147"/>
      <c r="G251" s="146"/>
      <c r="H251" s="145">
        <v>49.4</v>
      </c>
      <c r="I251" s="146"/>
      <c r="J251" s="199"/>
    </row>
    <row r="252" spans="1:10" ht="21" x14ac:dyDescent="0.45">
      <c r="A252" s="137">
        <v>193</v>
      </c>
      <c r="B252" s="143" t="s">
        <v>864</v>
      </c>
      <c r="C252" s="144" t="s">
        <v>865</v>
      </c>
      <c r="D252" s="145"/>
      <c r="E252" s="146"/>
      <c r="F252" s="147"/>
      <c r="G252" s="146"/>
      <c r="H252" s="145">
        <v>8.5500000000000007</v>
      </c>
      <c r="I252" s="146" t="s">
        <v>969</v>
      </c>
      <c r="J252" s="199"/>
    </row>
    <row r="253" spans="1:10" ht="21" x14ac:dyDescent="0.45">
      <c r="A253" s="142">
        <v>194</v>
      </c>
      <c r="B253" s="143" t="s">
        <v>866</v>
      </c>
      <c r="C253" s="144" t="s">
        <v>867</v>
      </c>
      <c r="D253" s="147"/>
      <c r="E253" s="146"/>
      <c r="F253" s="145"/>
      <c r="G253" s="146"/>
      <c r="H253" s="145">
        <v>12.35</v>
      </c>
      <c r="I253" s="146"/>
      <c r="J253" s="199"/>
    </row>
    <row r="254" spans="1:10" ht="21" x14ac:dyDescent="0.45">
      <c r="A254" s="142">
        <v>195</v>
      </c>
      <c r="B254" s="143" t="s">
        <v>868</v>
      </c>
      <c r="C254" s="144" t="s">
        <v>869</v>
      </c>
      <c r="D254" s="145"/>
      <c r="E254" s="146"/>
      <c r="F254" s="145"/>
      <c r="G254" s="146"/>
      <c r="H254" s="145">
        <v>24.7</v>
      </c>
      <c r="I254" s="146"/>
      <c r="J254" s="199"/>
    </row>
    <row r="255" spans="1:10" ht="21" x14ac:dyDescent="0.45">
      <c r="A255" s="137">
        <v>196</v>
      </c>
      <c r="B255" s="143" t="s">
        <v>870</v>
      </c>
      <c r="C255" s="144" t="s">
        <v>871</v>
      </c>
      <c r="D255" s="145"/>
      <c r="E255" s="146"/>
      <c r="F255" s="147"/>
      <c r="G255" s="146"/>
      <c r="H255" s="145">
        <v>36.1</v>
      </c>
      <c r="I255" s="146"/>
      <c r="J255" s="199"/>
    </row>
    <row r="256" spans="1:10" ht="21" x14ac:dyDescent="0.45">
      <c r="A256" s="142">
        <v>197</v>
      </c>
      <c r="B256" s="143" t="s">
        <v>868</v>
      </c>
      <c r="C256" s="144" t="s">
        <v>872</v>
      </c>
      <c r="D256" s="145"/>
      <c r="E256" s="146"/>
      <c r="F256" s="147"/>
      <c r="G256" s="146"/>
      <c r="H256" s="145">
        <v>31.35</v>
      </c>
      <c r="I256" s="146"/>
      <c r="J256" s="199"/>
    </row>
    <row r="257" spans="1:10" ht="21" x14ac:dyDescent="0.45">
      <c r="A257" s="142">
        <v>198</v>
      </c>
      <c r="B257" s="148" t="s">
        <v>873</v>
      </c>
      <c r="C257" s="149" t="s">
        <v>874</v>
      </c>
      <c r="D257" s="150"/>
      <c r="E257" s="151"/>
      <c r="F257" s="152"/>
      <c r="G257" s="151"/>
      <c r="H257" s="152">
        <v>81.7</v>
      </c>
      <c r="I257" s="151"/>
      <c r="J257" s="200"/>
    </row>
    <row r="258" spans="1:10" ht="21" x14ac:dyDescent="0.45">
      <c r="A258" s="137">
        <v>199</v>
      </c>
      <c r="B258" s="143" t="s">
        <v>875</v>
      </c>
      <c r="C258" s="144" t="s">
        <v>876</v>
      </c>
      <c r="D258" s="147"/>
      <c r="E258" s="146"/>
      <c r="F258" s="145"/>
      <c r="G258" s="146"/>
      <c r="H258" s="145">
        <v>4.75</v>
      </c>
      <c r="I258" s="146"/>
      <c r="J258" s="199"/>
    </row>
    <row r="259" spans="1:10" ht="21" x14ac:dyDescent="0.45">
      <c r="A259" s="142">
        <v>200</v>
      </c>
      <c r="B259" s="143" t="s">
        <v>877</v>
      </c>
      <c r="C259" s="144" t="s">
        <v>878</v>
      </c>
      <c r="D259" s="145"/>
      <c r="E259" s="146"/>
      <c r="F259" s="145"/>
      <c r="G259" s="146"/>
      <c r="H259" s="145">
        <v>47.5</v>
      </c>
      <c r="I259" s="146"/>
      <c r="J259" s="199"/>
    </row>
    <row r="260" spans="1:10" ht="21" x14ac:dyDescent="0.45">
      <c r="A260" s="142">
        <v>201</v>
      </c>
      <c r="B260" s="143" t="s">
        <v>879</v>
      </c>
      <c r="C260" s="144" t="s">
        <v>650</v>
      </c>
      <c r="D260" s="147"/>
      <c r="E260" s="146"/>
      <c r="F260" s="145"/>
      <c r="G260" s="146"/>
      <c r="H260" s="145">
        <v>60.8</v>
      </c>
      <c r="I260" s="146"/>
      <c r="J260" s="199"/>
    </row>
    <row r="261" spans="1:10" ht="21" x14ac:dyDescent="0.45">
      <c r="A261" s="137">
        <v>202</v>
      </c>
      <c r="B261" s="143" t="s">
        <v>880</v>
      </c>
      <c r="C261" s="144" t="s">
        <v>881</v>
      </c>
      <c r="D261" s="145"/>
      <c r="E261" s="146"/>
      <c r="F261" s="145"/>
      <c r="G261" s="146"/>
      <c r="H261" s="145">
        <v>9.5</v>
      </c>
      <c r="I261" s="146"/>
      <c r="J261" s="199"/>
    </row>
    <row r="262" spans="1:10" ht="21" x14ac:dyDescent="0.45">
      <c r="A262" s="142">
        <v>203</v>
      </c>
      <c r="B262" s="143" t="s">
        <v>882</v>
      </c>
      <c r="C262" s="144" t="s">
        <v>883</v>
      </c>
      <c r="D262" s="145"/>
      <c r="E262" s="146"/>
      <c r="F262" s="147"/>
      <c r="G262" s="146"/>
      <c r="H262" s="145">
        <v>4.75</v>
      </c>
      <c r="I262" s="146"/>
      <c r="J262" s="199"/>
    </row>
    <row r="263" spans="1:10" ht="21" x14ac:dyDescent="0.45">
      <c r="A263" s="142">
        <v>204</v>
      </c>
      <c r="B263" s="143" t="s">
        <v>884</v>
      </c>
      <c r="C263" s="144" t="s">
        <v>885</v>
      </c>
      <c r="D263" s="145"/>
      <c r="E263" s="146"/>
      <c r="F263" s="147"/>
      <c r="G263" s="146"/>
      <c r="H263" s="145">
        <v>14.25</v>
      </c>
      <c r="I263" s="146" t="s">
        <v>969</v>
      </c>
      <c r="J263" s="199"/>
    </row>
    <row r="264" spans="1:10" ht="21" x14ac:dyDescent="0.45">
      <c r="A264" s="137">
        <v>205</v>
      </c>
      <c r="B264" s="143" t="s">
        <v>886</v>
      </c>
      <c r="C264" s="144" t="s">
        <v>887</v>
      </c>
      <c r="D264" s="147"/>
      <c r="E264" s="146"/>
      <c r="F264" s="145"/>
      <c r="G264" s="146"/>
      <c r="H264" s="145">
        <v>4.75</v>
      </c>
      <c r="I264" s="146"/>
      <c r="J264" s="199"/>
    </row>
    <row r="265" spans="1:10" ht="21" x14ac:dyDescent="0.45">
      <c r="A265" s="142">
        <v>206</v>
      </c>
      <c r="B265" s="143" t="s">
        <v>888</v>
      </c>
      <c r="C265" s="144" t="s">
        <v>889</v>
      </c>
      <c r="D265" s="145"/>
      <c r="E265" s="146"/>
      <c r="F265" s="145"/>
      <c r="G265" s="146"/>
      <c r="H265" s="145">
        <v>13.3</v>
      </c>
      <c r="I265" s="146"/>
      <c r="J265" s="199"/>
    </row>
    <row r="266" spans="1:10" ht="21" x14ac:dyDescent="0.45">
      <c r="A266" s="142">
        <v>207</v>
      </c>
      <c r="B266" s="143" t="s">
        <v>890</v>
      </c>
      <c r="C266" s="144" t="s">
        <v>752</v>
      </c>
      <c r="D266" s="145"/>
      <c r="E266" s="146"/>
      <c r="F266" s="147"/>
      <c r="G266" s="146"/>
      <c r="H266" s="145">
        <v>12.35</v>
      </c>
      <c r="I266" s="146"/>
      <c r="J266" s="199"/>
    </row>
    <row r="267" spans="1:10" ht="21" x14ac:dyDescent="0.45">
      <c r="A267" s="137">
        <v>208</v>
      </c>
      <c r="B267" s="143" t="s">
        <v>891</v>
      </c>
      <c r="C267" s="144" t="s">
        <v>892</v>
      </c>
      <c r="D267" s="145"/>
      <c r="E267" s="146"/>
      <c r="F267" s="147"/>
      <c r="G267" s="146"/>
      <c r="H267" s="145">
        <v>47.5</v>
      </c>
      <c r="I267" s="146"/>
      <c r="J267" s="199"/>
    </row>
    <row r="268" spans="1:10" ht="21" x14ac:dyDescent="0.45">
      <c r="A268" s="142">
        <v>209</v>
      </c>
      <c r="B268" s="143" t="s">
        <v>893</v>
      </c>
      <c r="C268" s="144"/>
      <c r="D268" s="147"/>
      <c r="E268" s="146"/>
      <c r="F268" s="145"/>
      <c r="G268" s="146"/>
      <c r="H268" s="145">
        <v>9.5</v>
      </c>
      <c r="I268" s="146"/>
      <c r="J268" s="199"/>
    </row>
    <row r="269" spans="1:10" ht="21" x14ac:dyDescent="0.45">
      <c r="A269" s="142">
        <v>210</v>
      </c>
      <c r="B269" s="143" t="s">
        <v>825</v>
      </c>
      <c r="C269" s="144" t="s">
        <v>826</v>
      </c>
      <c r="D269" s="147"/>
      <c r="E269" s="146"/>
      <c r="F269" s="145"/>
      <c r="G269" s="146"/>
      <c r="H269" s="145">
        <v>238.45</v>
      </c>
      <c r="I269" s="146"/>
      <c r="J269" s="199"/>
    </row>
    <row r="270" spans="1:10" ht="21" x14ac:dyDescent="0.45">
      <c r="A270" s="137">
        <v>211</v>
      </c>
      <c r="B270" s="143" t="s">
        <v>801</v>
      </c>
      <c r="C270" s="144" t="s">
        <v>802</v>
      </c>
      <c r="D270" s="147"/>
      <c r="E270" s="146"/>
      <c r="F270" s="145"/>
      <c r="G270" s="146"/>
      <c r="H270" s="145">
        <v>12.35</v>
      </c>
      <c r="I270" s="146"/>
      <c r="J270" s="199"/>
    </row>
    <row r="271" spans="1:10" ht="21" x14ac:dyDescent="0.45">
      <c r="A271" s="142">
        <v>212</v>
      </c>
      <c r="B271" s="143" t="s">
        <v>894</v>
      </c>
      <c r="C271" s="144" t="s">
        <v>895</v>
      </c>
      <c r="D271" s="145">
        <v>1440</v>
      </c>
      <c r="E271" s="146"/>
      <c r="F271" s="145"/>
      <c r="G271" s="146"/>
      <c r="H271" s="145" t="s">
        <v>967</v>
      </c>
      <c r="I271" s="146"/>
      <c r="J271" s="199"/>
    </row>
    <row r="272" spans="1:10" ht="21" x14ac:dyDescent="0.45">
      <c r="A272" s="153"/>
      <c r="B272" s="256" t="s">
        <v>961</v>
      </c>
      <c r="C272" s="257"/>
      <c r="D272" s="154">
        <f>SUM(D48:D271)</f>
        <v>264962</v>
      </c>
      <c r="E272" s="154"/>
      <c r="F272" s="154">
        <f>SUM(F48:F271)</f>
        <v>18522</v>
      </c>
      <c r="G272" s="154"/>
      <c r="H272" s="154">
        <f>SUM(H38:H271)</f>
        <v>10038.650000000003</v>
      </c>
      <c r="I272" s="154"/>
      <c r="J272" s="223"/>
    </row>
    <row r="273" spans="1:10" ht="21.75" thickBot="1" x14ac:dyDescent="0.5">
      <c r="A273" s="155"/>
      <c r="B273" s="209" t="s">
        <v>347</v>
      </c>
      <c r="C273" s="210"/>
      <c r="D273" s="99">
        <f>D272+D46+D34+D14</f>
        <v>387187</v>
      </c>
      <c r="E273" s="99"/>
      <c r="F273" s="99">
        <f>F14+F34+F46+F272</f>
        <v>155696</v>
      </c>
      <c r="G273" s="99"/>
      <c r="H273" s="215">
        <f>H272</f>
        <v>10038.650000000003</v>
      </c>
      <c r="I273" s="99"/>
      <c r="J273" s="99"/>
    </row>
    <row r="274" spans="1:10" ht="21.75" thickTop="1" x14ac:dyDescent="0.45">
      <c r="A274" s="97"/>
      <c r="B274" s="97"/>
      <c r="C274" s="97"/>
      <c r="D274" s="97"/>
      <c r="E274" s="97"/>
      <c r="F274" s="97"/>
      <c r="G274" s="97"/>
      <c r="H274" s="131"/>
      <c r="I274" s="97"/>
    </row>
    <row r="275" spans="1:10" ht="21" x14ac:dyDescent="0.45">
      <c r="A275" s="97"/>
      <c r="B275" s="97"/>
      <c r="C275" s="131"/>
      <c r="D275" s="131"/>
      <c r="E275" s="97"/>
      <c r="F275" s="131"/>
      <c r="G275" s="97"/>
      <c r="H275" s="97"/>
      <c r="I275" s="97"/>
    </row>
    <row r="276" spans="1:10" ht="21" x14ac:dyDescent="0.45">
      <c r="A276" s="97"/>
      <c r="B276" s="97"/>
      <c r="C276" s="97"/>
      <c r="D276" s="97"/>
      <c r="E276" s="97"/>
      <c r="F276" s="97"/>
      <c r="G276" s="97"/>
      <c r="H276" s="97"/>
      <c r="I276" s="97"/>
    </row>
    <row r="277" spans="1:10" ht="21" x14ac:dyDescent="0.45">
      <c r="A277" s="97"/>
      <c r="B277" s="97"/>
      <c r="C277" s="97"/>
      <c r="D277" s="97"/>
      <c r="E277" s="97"/>
      <c r="F277" s="97"/>
      <c r="G277" s="97"/>
      <c r="H277" s="97"/>
      <c r="I277" s="97"/>
    </row>
    <row r="3406" spans="12:12" x14ac:dyDescent="0.4">
      <c r="L3406" t="s">
        <v>1015</v>
      </c>
    </row>
  </sheetData>
  <mergeCells count="8">
    <mergeCell ref="A37:C37"/>
    <mergeCell ref="A47:C47"/>
    <mergeCell ref="A1:J1"/>
    <mergeCell ref="A2:J2"/>
    <mergeCell ref="A3:J3"/>
    <mergeCell ref="A6:C6"/>
    <mergeCell ref="A15:C15"/>
    <mergeCell ref="A34:C34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84" workbookViewId="0">
      <selection activeCell="E136" sqref="E136"/>
    </sheetView>
  </sheetViews>
  <sheetFormatPr defaultRowHeight="18" x14ac:dyDescent="0.4"/>
  <cols>
    <col min="1" max="1" width="6" customWidth="1"/>
    <col min="2" max="2" width="16.796875" customWidth="1"/>
    <col min="3" max="3" width="67" customWidth="1"/>
    <col min="4" max="4" width="33.3984375" customWidth="1"/>
    <col min="5" max="5" width="19.59765625" customWidth="1"/>
    <col min="6" max="6" width="18.19921875" style="231" customWidth="1"/>
    <col min="7" max="7" width="12.796875" bestFit="1" customWidth="1"/>
    <col min="8" max="8" width="12.19921875" bestFit="1" customWidth="1"/>
  </cols>
  <sheetData>
    <row r="1" spans="1:8" ht="23.25" x14ac:dyDescent="0.5">
      <c r="A1" s="347" t="s">
        <v>182</v>
      </c>
      <c r="B1" s="347"/>
      <c r="C1" s="347"/>
      <c r="D1" s="347"/>
      <c r="E1" s="347"/>
      <c r="F1" s="347"/>
    </row>
    <row r="2" spans="1:8" ht="23.25" x14ac:dyDescent="0.5">
      <c r="A2" s="347" t="s">
        <v>183</v>
      </c>
      <c r="B2" s="347"/>
      <c r="C2" s="347"/>
      <c r="D2" s="347"/>
      <c r="E2" s="347"/>
      <c r="F2" s="347"/>
    </row>
    <row r="3" spans="1:8" ht="23.25" x14ac:dyDescent="0.5">
      <c r="A3" s="347" t="s">
        <v>1022</v>
      </c>
      <c r="B3" s="347"/>
      <c r="C3" s="347"/>
      <c r="D3" s="347"/>
      <c r="E3" s="347"/>
      <c r="F3" s="347"/>
    </row>
    <row r="4" spans="1:8" ht="23.25" x14ac:dyDescent="0.5">
      <c r="A4" s="72" t="s">
        <v>184</v>
      </c>
      <c r="B4" s="72" t="s">
        <v>294</v>
      </c>
      <c r="C4" s="72" t="s">
        <v>0</v>
      </c>
      <c r="D4" s="72" t="s">
        <v>185</v>
      </c>
      <c r="E4" s="73" t="s">
        <v>177</v>
      </c>
      <c r="F4" s="224" t="s">
        <v>186</v>
      </c>
    </row>
    <row r="5" spans="1:8" ht="23.25" x14ac:dyDescent="0.5">
      <c r="A5" s="74">
        <v>1</v>
      </c>
      <c r="B5" s="74" t="s">
        <v>468</v>
      </c>
      <c r="C5" s="75" t="s">
        <v>194</v>
      </c>
      <c r="D5" s="75" t="s">
        <v>189</v>
      </c>
      <c r="E5" s="76">
        <v>10785</v>
      </c>
      <c r="F5" s="225" t="s">
        <v>195</v>
      </c>
      <c r="H5" s="91">
        <f>E5+E7</f>
        <v>29860</v>
      </c>
    </row>
    <row r="6" spans="1:8" ht="23.25" x14ac:dyDescent="0.5">
      <c r="A6" s="74">
        <v>2</v>
      </c>
      <c r="B6" s="74" t="s">
        <v>469</v>
      </c>
      <c r="C6" s="75" t="s">
        <v>196</v>
      </c>
      <c r="D6" s="75" t="s">
        <v>189</v>
      </c>
      <c r="E6" s="76">
        <v>99925</v>
      </c>
      <c r="F6" s="225">
        <v>41838</v>
      </c>
    </row>
    <row r="7" spans="1:8" ht="23.25" x14ac:dyDescent="0.5">
      <c r="A7" s="74">
        <v>3</v>
      </c>
      <c r="B7" s="74" t="s">
        <v>470</v>
      </c>
      <c r="C7" s="75" t="s">
        <v>197</v>
      </c>
      <c r="D7" s="75" t="s">
        <v>188</v>
      </c>
      <c r="E7" s="76">
        <v>19075</v>
      </c>
      <c r="F7" s="225" t="s">
        <v>198</v>
      </c>
    </row>
    <row r="8" spans="1:8" ht="23.25" x14ac:dyDescent="0.5">
      <c r="A8" s="74">
        <v>4</v>
      </c>
      <c r="B8" s="74" t="s">
        <v>471</v>
      </c>
      <c r="C8" s="75" t="s">
        <v>199</v>
      </c>
      <c r="D8" s="75" t="s">
        <v>189</v>
      </c>
      <c r="E8" s="76">
        <v>99930</v>
      </c>
      <c r="F8" s="225" t="s">
        <v>460</v>
      </c>
    </row>
    <row r="9" spans="1:8" ht="23.25" x14ac:dyDescent="0.5">
      <c r="A9" s="74">
        <v>5</v>
      </c>
      <c r="B9" s="74" t="s">
        <v>472</v>
      </c>
      <c r="C9" s="75" t="s">
        <v>200</v>
      </c>
      <c r="D9" s="75" t="s">
        <v>193</v>
      </c>
      <c r="E9" s="76">
        <v>25680</v>
      </c>
      <c r="F9" s="225" t="s">
        <v>201</v>
      </c>
    </row>
    <row r="10" spans="1:8" ht="23.25" x14ac:dyDescent="0.5">
      <c r="A10" s="74">
        <v>6</v>
      </c>
      <c r="B10" s="74" t="s">
        <v>473</v>
      </c>
      <c r="C10" s="75" t="s">
        <v>307</v>
      </c>
      <c r="D10" s="75" t="s">
        <v>189</v>
      </c>
      <c r="E10" s="76">
        <v>34715</v>
      </c>
      <c r="F10" s="225" t="s">
        <v>461</v>
      </c>
    </row>
    <row r="11" spans="1:8" ht="23.25" x14ac:dyDescent="0.5">
      <c r="A11" s="74">
        <v>7</v>
      </c>
      <c r="B11" s="74" t="s">
        <v>474</v>
      </c>
      <c r="C11" s="75" t="s">
        <v>308</v>
      </c>
      <c r="D11" s="75" t="s">
        <v>202</v>
      </c>
      <c r="E11" s="118">
        <v>13830</v>
      </c>
      <c r="F11" s="225" t="s">
        <v>203</v>
      </c>
    </row>
    <row r="12" spans="1:8" ht="23.25" x14ac:dyDescent="0.5">
      <c r="A12" s="74">
        <v>8</v>
      </c>
      <c r="B12" s="74" t="s">
        <v>475</v>
      </c>
      <c r="C12" s="75" t="s">
        <v>204</v>
      </c>
      <c r="D12" s="75" t="s">
        <v>188</v>
      </c>
      <c r="E12" s="76">
        <v>17475</v>
      </c>
      <c r="F12" s="225" t="s">
        <v>205</v>
      </c>
    </row>
    <row r="13" spans="1:8" ht="23.25" x14ac:dyDescent="0.5">
      <c r="A13" s="74">
        <v>9</v>
      </c>
      <c r="B13" s="74" t="s">
        <v>476</v>
      </c>
      <c r="C13" s="75" t="s">
        <v>206</v>
      </c>
      <c r="D13" s="75" t="s">
        <v>192</v>
      </c>
      <c r="E13" s="76">
        <v>6385</v>
      </c>
      <c r="F13" s="225" t="s">
        <v>207</v>
      </c>
    </row>
    <row r="14" spans="1:8" ht="23.25" x14ac:dyDescent="0.5">
      <c r="A14" s="74">
        <v>10</v>
      </c>
      <c r="B14" s="74" t="s">
        <v>348</v>
      </c>
      <c r="C14" s="75" t="s">
        <v>208</v>
      </c>
      <c r="D14" s="75" t="s">
        <v>192</v>
      </c>
      <c r="E14" s="76">
        <v>6880</v>
      </c>
      <c r="F14" s="225" t="s">
        <v>209</v>
      </c>
    </row>
    <row r="15" spans="1:8" ht="23.25" x14ac:dyDescent="0.5">
      <c r="A15" s="74">
        <v>11</v>
      </c>
      <c r="B15" s="74" t="s">
        <v>348</v>
      </c>
      <c r="C15" s="75" t="s">
        <v>210</v>
      </c>
      <c r="D15" s="75" t="s">
        <v>193</v>
      </c>
      <c r="E15" s="76">
        <v>9575</v>
      </c>
      <c r="F15" s="225" t="s">
        <v>459</v>
      </c>
    </row>
    <row r="16" spans="1:8" ht="23.25" x14ac:dyDescent="0.5">
      <c r="A16" s="74">
        <v>12</v>
      </c>
      <c r="B16" s="74" t="s">
        <v>477</v>
      </c>
      <c r="C16" s="75" t="s">
        <v>211</v>
      </c>
      <c r="D16" s="75" t="s">
        <v>212</v>
      </c>
      <c r="E16" s="76">
        <v>7987.5</v>
      </c>
      <c r="F16" s="225" t="s">
        <v>436</v>
      </c>
    </row>
    <row r="17" spans="1:6" ht="23.25" x14ac:dyDescent="0.5">
      <c r="A17" s="74">
        <v>13</v>
      </c>
      <c r="B17" s="74" t="s">
        <v>348</v>
      </c>
      <c r="C17" s="75" t="s">
        <v>213</v>
      </c>
      <c r="D17" s="75" t="s">
        <v>212</v>
      </c>
      <c r="E17" s="76">
        <v>18382.75</v>
      </c>
      <c r="F17" s="225" t="s">
        <v>214</v>
      </c>
    </row>
    <row r="18" spans="1:6" ht="23.25" x14ac:dyDescent="0.5">
      <c r="A18" s="74">
        <v>14</v>
      </c>
      <c r="B18" s="74" t="s">
        <v>478</v>
      </c>
      <c r="C18" s="75" t="s">
        <v>215</v>
      </c>
      <c r="D18" s="75" t="s">
        <v>202</v>
      </c>
      <c r="E18" s="76">
        <v>8360</v>
      </c>
      <c r="F18" s="225" t="s">
        <v>216</v>
      </c>
    </row>
    <row r="19" spans="1:6" ht="23.25" x14ac:dyDescent="0.5">
      <c r="A19" s="74">
        <v>15</v>
      </c>
      <c r="B19" s="74" t="s">
        <v>479</v>
      </c>
      <c r="C19" s="75" t="s">
        <v>217</v>
      </c>
      <c r="D19" s="75" t="s">
        <v>188</v>
      </c>
      <c r="E19" s="76">
        <v>5890</v>
      </c>
      <c r="F19" s="225" t="s">
        <v>218</v>
      </c>
    </row>
    <row r="20" spans="1:6" ht="23.25" x14ac:dyDescent="0.5">
      <c r="A20" s="74">
        <v>16</v>
      </c>
      <c r="B20" s="74" t="s">
        <v>348</v>
      </c>
      <c r="C20" s="75" t="s">
        <v>219</v>
      </c>
      <c r="D20" s="75" t="s">
        <v>191</v>
      </c>
      <c r="E20" s="76">
        <v>29070</v>
      </c>
      <c r="F20" s="225" t="s">
        <v>220</v>
      </c>
    </row>
    <row r="21" spans="1:6" ht="23.25" x14ac:dyDescent="0.5">
      <c r="A21" s="74">
        <v>17</v>
      </c>
      <c r="B21" s="74" t="s">
        <v>480</v>
      </c>
      <c r="C21" s="75" t="s">
        <v>221</v>
      </c>
      <c r="D21" s="75" t="s">
        <v>193</v>
      </c>
      <c r="E21" s="76">
        <v>16970</v>
      </c>
      <c r="F21" s="225" t="s">
        <v>222</v>
      </c>
    </row>
    <row r="22" spans="1:6" ht="23.25" x14ac:dyDescent="0.5">
      <c r="A22" s="74">
        <v>18</v>
      </c>
      <c r="B22" s="74" t="s">
        <v>348</v>
      </c>
      <c r="C22" s="75" t="s">
        <v>223</v>
      </c>
      <c r="D22" s="75" t="s">
        <v>193</v>
      </c>
      <c r="E22" s="76">
        <v>4950</v>
      </c>
      <c r="F22" s="225" t="s">
        <v>224</v>
      </c>
    </row>
    <row r="23" spans="1:6" ht="23.25" x14ac:dyDescent="0.5">
      <c r="A23" s="74">
        <v>19</v>
      </c>
      <c r="B23" s="74" t="s">
        <v>348</v>
      </c>
      <c r="C23" s="75" t="s">
        <v>225</v>
      </c>
      <c r="D23" s="75" t="s">
        <v>191</v>
      </c>
      <c r="E23" s="76">
        <v>24970</v>
      </c>
      <c r="F23" s="225" t="s">
        <v>226</v>
      </c>
    </row>
    <row r="24" spans="1:6" ht="23.25" x14ac:dyDescent="0.5">
      <c r="A24" s="74">
        <v>20</v>
      </c>
      <c r="B24" s="74" t="s">
        <v>481</v>
      </c>
      <c r="C24" s="75" t="s">
        <v>227</v>
      </c>
      <c r="D24" s="75" t="s">
        <v>193</v>
      </c>
      <c r="E24" s="76">
        <v>7975</v>
      </c>
      <c r="F24" s="225" t="s">
        <v>228</v>
      </c>
    </row>
    <row r="25" spans="1:6" ht="23.25" x14ac:dyDescent="0.5">
      <c r="A25" s="74">
        <v>21</v>
      </c>
      <c r="B25" s="74" t="s">
        <v>482</v>
      </c>
      <c r="C25" s="75" t="s">
        <v>229</v>
      </c>
      <c r="D25" s="75" t="s">
        <v>191</v>
      </c>
      <c r="E25" s="76">
        <v>32120</v>
      </c>
      <c r="F25" s="225" t="s">
        <v>230</v>
      </c>
    </row>
    <row r="26" spans="1:6" ht="23.25" x14ac:dyDescent="0.5">
      <c r="A26" s="74">
        <v>22</v>
      </c>
      <c r="B26" s="74" t="s">
        <v>483</v>
      </c>
      <c r="C26" s="75" t="s">
        <v>231</v>
      </c>
      <c r="D26" s="75" t="s">
        <v>188</v>
      </c>
      <c r="E26" s="76">
        <v>6335</v>
      </c>
      <c r="F26" s="225" t="s">
        <v>232</v>
      </c>
    </row>
    <row r="27" spans="1:6" ht="23.25" x14ac:dyDescent="0.5">
      <c r="A27" s="74">
        <v>23</v>
      </c>
      <c r="B27" s="74" t="s">
        <v>348</v>
      </c>
      <c r="C27" s="75" t="s">
        <v>233</v>
      </c>
      <c r="D27" s="75" t="s">
        <v>188</v>
      </c>
      <c r="E27" s="76">
        <v>10080</v>
      </c>
      <c r="F27" s="225" t="s">
        <v>234</v>
      </c>
    </row>
    <row r="28" spans="1:6" ht="23.25" x14ac:dyDescent="0.5">
      <c r="A28" s="74">
        <v>24</v>
      </c>
      <c r="B28" s="87" t="s">
        <v>484</v>
      </c>
      <c r="C28" s="88" t="s">
        <v>235</v>
      </c>
      <c r="D28" s="88" t="s">
        <v>188</v>
      </c>
      <c r="E28" s="82">
        <v>8380</v>
      </c>
      <c r="F28" s="226" t="s">
        <v>236</v>
      </c>
    </row>
    <row r="29" spans="1:6" ht="23.25" x14ac:dyDescent="0.5">
      <c r="A29" s="74">
        <v>25</v>
      </c>
      <c r="B29" s="87" t="s">
        <v>484</v>
      </c>
      <c r="C29" s="75" t="s">
        <v>237</v>
      </c>
      <c r="D29" s="75" t="s">
        <v>193</v>
      </c>
      <c r="E29" s="76">
        <v>24350</v>
      </c>
      <c r="F29" s="225" t="s">
        <v>238</v>
      </c>
    </row>
    <row r="30" spans="1:6" ht="23.25" x14ac:dyDescent="0.5">
      <c r="A30" s="74">
        <v>26</v>
      </c>
      <c r="B30" s="74" t="s">
        <v>485</v>
      </c>
      <c r="C30" s="75" t="s">
        <v>239</v>
      </c>
      <c r="D30" s="75" t="s">
        <v>193</v>
      </c>
      <c r="E30" s="76">
        <v>5000</v>
      </c>
      <c r="F30" s="225" t="s">
        <v>462</v>
      </c>
    </row>
    <row r="31" spans="1:6" ht="23.25" x14ac:dyDescent="0.5">
      <c r="A31" s="74">
        <v>27</v>
      </c>
      <c r="B31" s="74" t="s">
        <v>487</v>
      </c>
      <c r="C31" s="75" t="s">
        <v>240</v>
      </c>
      <c r="D31" s="75" t="s">
        <v>188</v>
      </c>
      <c r="E31" s="76">
        <v>19170</v>
      </c>
      <c r="F31" s="225" t="s">
        <v>241</v>
      </c>
    </row>
    <row r="32" spans="1:6" ht="23.25" x14ac:dyDescent="0.5">
      <c r="A32" s="74">
        <v>28</v>
      </c>
      <c r="B32" s="74" t="s">
        <v>348</v>
      </c>
      <c r="C32" s="75" t="s">
        <v>242</v>
      </c>
      <c r="D32" s="75" t="s">
        <v>188</v>
      </c>
      <c r="E32" s="76">
        <v>13055</v>
      </c>
      <c r="F32" s="225" t="s">
        <v>243</v>
      </c>
    </row>
    <row r="33" spans="1:6" ht="23.25" x14ac:dyDescent="0.5">
      <c r="A33" s="74">
        <v>29</v>
      </c>
      <c r="B33" s="74" t="s">
        <v>488</v>
      </c>
      <c r="C33" s="75" t="s">
        <v>244</v>
      </c>
      <c r="D33" s="75" t="s">
        <v>191</v>
      </c>
      <c r="E33" s="76">
        <v>14225</v>
      </c>
      <c r="F33" s="225" t="s">
        <v>245</v>
      </c>
    </row>
    <row r="34" spans="1:6" ht="23.25" x14ac:dyDescent="0.5">
      <c r="A34" s="74">
        <v>30</v>
      </c>
      <c r="B34" s="74" t="s">
        <v>489</v>
      </c>
      <c r="C34" s="75" t="s">
        <v>246</v>
      </c>
      <c r="D34" s="75" t="s">
        <v>191</v>
      </c>
      <c r="E34" s="76">
        <v>7960</v>
      </c>
      <c r="F34" s="225" t="s">
        <v>247</v>
      </c>
    </row>
    <row r="35" spans="1:6" ht="23.25" x14ac:dyDescent="0.5">
      <c r="A35" s="74">
        <v>31</v>
      </c>
      <c r="B35" s="74" t="s">
        <v>490</v>
      </c>
      <c r="C35" s="75" t="s">
        <v>187</v>
      </c>
      <c r="D35" s="75" t="s">
        <v>191</v>
      </c>
      <c r="E35" s="76">
        <v>7835</v>
      </c>
      <c r="F35" s="225" t="s">
        <v>387</v>
      </c>
    </row>
    <row r="36" spans="1:6" ht="23.25" x14ac:dyDescent="0.5">
      <c r="A36" s="74">
        <v>32</v>
      </c>
      <c r="B36" s="74" t="s">
        <v>491</v>
      </c>
      <c r="C36" s="75" t="s">
        <v>221</v>
      </c>
      <c r="D36" s="75" t="s">
        <v>193</v>
      </c>
      <c r="E36" s="76">
        <v>20620</v>
      </c>
      <c r="F36" s="225" t="s">
        <v>248</v>
      </c>
    </row>
    <row r="37" spans="1:6" ht="23.25" x14ac:dyDescent="0.5">
      <c r="A37" s="74">
        <v>33</v>
      </c>
      <c r="B37" s="77" t="s">
        <v>492</v>
      </c>
      <c r="C37" s="80" t="s">
        <v>249</v>
      </c>
      <c r="D37" s="80" t="s">
        <v>189</v>
      </c>
      <c r="E37" s="81">
        <v>31465</v>
      </c>
      <c r="F37" s="227" t="s">
        <v>250</v>
      </c>
    </row>
    <row r="38" spans="1:6" ht="23.25" x14ac:dyDescent="0.5">
      <c r="A38" s="74">
        <v>34</v>
      </c>
      <c r="B38" s="74" t="s">
        <v>493</v>
      </c>
      <c r="C38" s="75" t="s">
        <v>251</v>
      </c>
      <c r="D38" s="75" t="s">
        <v>191</v>
      </c>
      <c r="E38" s="76">
        <v>19980</v>
      </c>
      <c r="F38" s="225" t="s">
        <v>463</v>
      </c>
    </row>
    <row r="39" spans="1:6" ht="23.25" x14ac:dyDescent="0.5">
      <c r="A39" s="74">
        <v>35</v>
      </c>
      <c r="B39" s="74" t="s">
        <v>486</v>
      </c>
      <c r="C39" s="75" t="s">
        <v>252</v>
      </c>
      <c r="D39" s="75" t="s">
        <v>193</v>
      </c>
      <c r="E39" s="76">
        <v>9700</v>
      </c>
      <c r="F39" s="225" t="s">
        <v>389</v>
      </c>
    </row>
    <row r="40" spans="1:6" ht="23.25" x14ac:dyDescent="0.5">
      <c r="A40" s="74">
        <v>36</v>
      </c>
      <c r="B40" s="74" t="s">
        <v>494</v>
      </c>
      <c r="C40" s="75" t="s">
        <v>253</v>
      </c>
      <c r="D40" s="75" t="s">
        <v>191</v>
      </c>
      <c r="E40" s="76">
        <v>5700</v>
      </c>
      <c r="F40" s="225" t="s">
        <v>390</v>
      </c>
    </row>
    <row r="41" spans="1:6" ht="23.25" x14ac:dyDescent="0.5">
      <c r="A41" s="72" t="s">
        <v>184</v>
      </c>
      <c r="B41" s="72" t="s">
        <v>294</v>
      </c>
      <c r="C41" s="72" t="s">
        <v>0</v>
      </c>
      <c r="D41" s="72" t="s">
        <v>185</v>
      </c>
      <c r="E41" s="73" t="s">
        <v>177</v>
      </c>
      <c r="F41" s="224" t="s">
        <v>186</v>
      </c>
    </row>
    <row r="42" spans="1:6" ht="23.25" x14ac:dyDescent="0.5">
      <c r="A42" s="74">
        <v>37</v>
      </c>
      <c r="B42" s="74" t="s">
        <v>348</v>
      </c>
      <c r="C42" s="75" t="s">
        <v>254</v>
      </c>
      <c r="D42" s="75" t="s">
        <v>193</v>
      </c>
      <c r="E42" s="76">
        <v>5000</v>
      </c>
      <c r="F42" s="225" t="s">
        <v>391</v>
      </c>
    </row>
    <row r="43" spans="1:6" ht="23.25" x14ac:dyDescent="0.5">
      <c r="A43" s="74">
        <v>38</v>
      </c>
      <c r="B43" s="74" t="s">
        <v>495</v>
      </c>
      <c r="C43" s="75" t="s">
        <v>255</v>
      </c>
      <c r="D43" s="75" t="s">
        <v>191</v>
      </c>
      <c r="E43" s="76">
        <v>12405</v>
      </c>
      <c r="F43" s="225" t="s">
        <v>256</v>
      </c>
    </row>
    <row r="44" spans="1:6" ht="23.25" x14ac:dyDescent="0.5">
      <c r="A44" s="74">
        <v>39</v>
      </c>
      <c r="B44" s="74" t="s">
        <v>496</v>
      </c>
      <c r="C44" s="75" t="s">
        <v>257</v>
      </c>
      <c r="D44" s="75" t="s">
        <v>193</v>
      </c>
      <c r="E44" s="76">
        <v>21565</v>
      </c>
      <c r="F44" s="225" t="s">
        <v>256</v>
      </c>
    </row>
    <row r="45" spans="1:6" ht="23.25" x14ac:dyDescent="0.5">
      <c r="A45" s="74">
        <v>40</v>
      </c>
      <c r="B45" s="74" t="s">
        <v>497</v>
      </c>
      <c r="C45" s="75" t="s">
        <v>258</v>
      </c>
      <c r="D45" s="75" t="s">
        <v>191</v>
      </c>
      <c r="E45" s="76">
        <v>3950</v>
      </c>
      <c r="F45" s="225" t="s">
        <v>388</v>
      </c>
    </row>
    <row r="46" spans="1:6" ht="23.25" x14ac:dyDescent="0.5">
      <c r="A46" s="74">
        <v>41</v>
      </c>
      <c r="B46" s="136">
        <v>20308</v>
      </c>
      <c r="C46" s="119" t="s">
        <v>373</v>
      </c>
      <c r="D46" s="75" t="s">
        <v>192</v>
      </c>
      <c r="E46" s="76">
        <v>9460</v>
      </c>
      <c r="F46" s="225" t="s">
        <v>259</v>
      </c>
    </row>
    <row r="47" spans="1:6" ht="23.25" x14ac:dyDescent="0.5">
      <c r="A47" s="74">
        <v>42</v>
      </c>
      <c r="B47" s="74" t="s">
        <v>498</v>
      </c>
      <c r="C47" s="119" t="s">
        <v>260</v>
      </c>
      <c r="D47" s="75" t="s">
        <v>191</v>
      </c>
      <c r="E47" s="76">
        <v>5000</v>
      </c>
      <c r="F47" s="225" t="s">
        <v>392</v>
      </c>
    </row>
    <row r="48" spans="1:6" ht="23.25" x14ac:dyDescent="0.5">
      <c r="A48" s="74">
        <v>43</v>
      </c>
      <c r="B48" s="74" t="s">
        <v>499</v>
      </c>
      <c r="C48" s="75" t="s">
        <v>261</v>
      </c>
      <c r="D48" s="75" t="s">
        <v>191</v>
      </c>
      <c r="E48" s="76">
        <v>30520</v>
      </c>
      <c r="F48" s="225" t="s">
        <v>262</v>
      </c>
    </row>
    <row r="49" spans="1:6" ht="23.25" x14ac:dyDescent="0.5">
      <c r="A49" s="74">
        <v>44</v>
      </c>
      <c r="B49" s="74" t="s">
        <v>500</v>
      </c>
      <c r="C49" s="119" t="s">
        <v>263</v>
      </c>
      <c r="D49" s="75" t="s">
        <v>192</v>
      </c>
      <c r="E49" s="76">
        <v>17955</v>
      </c>
      <c r="F49" s="225" t="s">
        <v>264</v>
      </c>
    </row>
    <row r="50" spans="1:6" ht="23.25" x14ac:dyDescent="0.5">
      <c r="A50" s="74">
        <v>45</v>
      </c>
      <c r="B50" s="74" t="s">
        <v>348</v>
      </c>
      <c r="C50" s="75" t="s">
        <v>265</v>
      </c>
      <c r="D50" s="75" t="s">
        <v>193</v>
      </c>
      <c r="E50" s="76">
        <v>72050</v>
      </c>
      <c r="F50" s="225" t="s">
        <v>266</v>
      </c>
    </row>
    <row r="51" spans="1:6" ht="23.25" x14ac:dyDescent="0.5">
      <c r="A51" s="74">
        <v>46</v>
      </c>
      <c r="B51" s="90" t="s">
        <v>501</v>
      </c>
      <c r="C51" s="75" t="s">
        <v>267</v>
      </c>
      <c r="D51" s="75" t="s">
        <v>189</v>
      </c>
      <c r="E51" s="76">
        <v>34975</v>
      </c>
      <c r="F51" s="225" t="s">
        <v>268</v>
      </c>
    </row>
    <row r="52" spans="1:6" ht="23.25" x14ac:dyDescent="0.5">
      <c r="A52" s="74">
        <v>47</v>
      </c>
      <c r="B52" s="74" t="s">
        <v>502</v>
      </c>
      <c r="C52" s="75" t="s">
        <v>269</v>
      </c>
      <c r="D52" s="75" t="s">
        <v>189</v>
      </c>
      <c r="E52" s="76">
        <v>35065</v>
      </c>
      <c r="F52" s="225" t="s">
        <v>270</v>
      </c>
    </row>
    <row r="53" spans="1:6" ht="23.25" x14ac:dyDescent="0.5">
      <c r="A53" s="74">
        <v>48</v>
      </c>
      <c r="B53" s="77" t="s">
        <v>503</v>
      </c>
      <c r="C53" s="80" t="s">
        <v>271</v>
      </c>
      <c r="D53" s="80" t="s">
        <v>191</v>
      </c>
      <c r="E53" s="81">
        <v>15585</v>
      </c>
      <c r="F53" s="227" t="s">
        <v>394</v>
      </c>
    </row>
    <row r="54" spans="1:6" ht="23.25" x14ac:dyDescent="0.5">
      <c r="A54" s="74">
        <v>49</v>
      </c>
      <c r="B54" s="74" t="s">
        <v>504</v>
      </c>
      <c r="C54" s="75" t="s">
        <v>272</v>
      </c>
      <c r="D54" s="75" t="s">
        <v>273</v>
      </c>
      <c r="E54" s="76">
        <v>24765</v>
      </c>
      <c r="F54" s="225" t="s">
        <v>393</v>
      </c>
    </row>
    <row r="55" spans="1:6" ht="23.25" x14ac:dyDescent="0.5">
      <c r="A55" s="74">
        <v>50</v>
      </c>
      <c r="B55" s="74" t="s">
        <v>505</v>
      </c>
      <c r="C55" s="75" t="s">
        <v>274</v>
      </c>
      <c r="D55" s="75" t="s">
        <v>191</v>
      </c>
      <c r="E55" s="76">
        <v>39875</v>
      </c>
      <c r="F55" s="225" t="s">
        <v>395</v>
      </c>
    </row>
    <row r="56" spans="1:6" ht="23.25" x14ac:dyDescent="0.5">
      <c r="A56" s="74">
        <v>51</v>
      </c>
      <c r="B56" s="74" t="s">
        <v>506</v>
      </c>
      <c r="C56" s="75" t="s">
        <v>275</v>
      </c>
      <c r="D56" s="75" t="s">
        <v>189</v>
      </c>
      <c r="E56" s="76">
        <v>37470</v>
      </c>
      <c r="F56" s="225" t="s">
        <v>396</v>
      </c>
    </row>
    <row r="57" spans="1:6" ht="23.25" x14ac:dyDescent="0.5">
      <c r="A57" s="74">
        <v>52</v>
      </c>
      <c r="B57" s="74" t="s">
        <v>507</v>
      </c>
      <c r="C57" s="75" t="s">
        <v>276</v>
      </c>
      <c r="D57" s="78" t="s">
        <v>193</v>
      </c>
      <c r="E57" s="76">
        <v>3874</v>
      </c>
      <c r="F57" s="225" t="s">
        <v>397</v>
      </c>
    </row>
    <row r="58" spans="1:6" ht="23.25" x14ac:dyDescent="0.5">
      <c r="A58" s="74">
        <v>53</v>
      </c>
      <c r="B58" s="74" t="s">
        <v>508</v>
      </c>
      <c r="C58" s="75" t="s">
        <v>277</v>
      </c>
      <c r="D58" s="75" t="s">
        <v>192</v>
      </c>
      <c r="E58" s="76">
        <v>11355</v>
      </c>
      <c r="F58" s="225" t="s">
        <v>398</v>
      </c>
    </row>
    <row r="59" spans="1:6" ht="23.25" x14ac:dyDescent="0.5">
      <c r="A59" s="74">
        <v>54</v>
      </c>
      <c r="B59" s="74" t="s">
        <v>509</v>
      </c>
      <c r="C59" s="75" t="s">
        <v>280</v>
      </c>
      <c r="D59" s="75" t="s">
        <v>191</v>
      </c>
      <c r="E59" s="81">
        <v>29970</v>
      </c>
      <c r="F59" s="225" t="s">
        <v>399</v>
      </c>
    </row>
    <row r="60" spans="1:6" ht="23.25" x14ac:dyDescent="0.5">
      <c r="A60" s="74">
        <v>55</v>
      </c>
      <c r="B60" s="74" t="s">
        <v>510</v>
      </c>
      <c r="C60" s="75" t="s">
        <v>281</v>
      </c>
      <c r="D60" s="78" t="s">
        <v>193</v>
      </c>
      <c r="E60" s="76">
        <v>5000</v>
      </c>
      <c r="F60" s="225" t="s">
        <v>397</v>
      </c>
    </row>
    <row r="61" spans="1:6" ht="23.25" x14ac:dyDescent="0.5">
      <c r="A61" s="74">
        <v>56</v>
      </c>
      <c r="B61" s="74" t="s">
        <v>511</v>
      </c>
      <c r="C61" s="75" t="s">
        <v>282</v>
      </c>
      <c r="D61" s="75" t="s">
        <v>188</v>
      </c>
      <c r="E61" s="76">
        <v>26830</v>
      </c>
      <c r="F61" s="225" t="s">
        <v>400</v>
      </c>
    </row>
    <row r="62" spans="1:6" ht="23.25" x14ac:dyDescent="0.5">
      <c r="A62" s="74">
        <v>57</v>
      </c>
      <c r="B62" s="74" t="s">
        <v>512</v>
      </c>
      <c r="C62" s="75" t="s">
        <v>283</v>
      </c>
      <c r="D62" s="75" t="s">
        <v>191</v>
      </c>
      <c r="E62" s="76">
        <v>7130</v>
      </c>
      <c r="F62" s="225" t="s">
        <v>402</v>
      </c>
    </row>
    <row r="63" spans="1:6" ht="23.25" x14ac:dyDescent="0.5">
      <c r="A63" s="74">
        <v>58</v>
      </c>
      <c r="B63" s="74" t="s">
        <v>513</v>
      </c>
      <c r="C63" s="75" t="s">
        <v>285</v>
      </c>
      <c r="D63" s="75" t="s">
        <v>284</v>
      </c>
      <c r="E63" s="76">
        <v>88900</v>
      </c>
      <c r="F63" s="225" t="s">
        <v>403</v>
      </c>
    </row>
    <row r="64" spans="1:6" ht="23.25" x14ac:dyDescent="0.5">
      <c r="A64" s="74">
        <v>59</v>
      </c>
      <c r="B64" s="77" t="s">
        <v>514</v>
      </c>
      <c r="C64" s="80" t="s">
        <v>287</v>
      </c>
      <c r="D64" s="80" t="s">
        <v>189</v>
      </c>
      <c r="E64" s="81">
        <v>43870</v>
      </c>
      <c r="F64" s="225" t="s">
        <v>404</v>
      </c>
    </row>
    <row r="65" spans="1:6" ht="23.25" x14ac:dyDescent="0.5">
      <c r="A65" s="74">
        <v>60</v>
      </c>
      <c r="B65" s="77" t="s">
        <v>514</v>
      </c>
      <c r="C65" s="75" t="s">
        <v>288</v>
      </c>
      <c r="D65" s="75" t="s">
        <v>189</v>
      </c>
      <c r="E65" s="76">
        <v>38020</v>
      </c>
      <c r="F65" s="225" t="s">
        <v>401</v>
      </c>
    </row>
    <row r="66" spans="1:6" ht="23.25" x14ac:dyDescent="0.5">
      <c r="A66" s="74">
        <v>61</v>
      </c>
      <c r="B66" s="74" t="s">
        <v>515</v>
      </c>
      <c r="C66" s="119" t="s">
        <v>375</v>
      </c>
      <c r="D66" s="75" t="s">
        <v>191</v>
      </c>
      <c r="E66" s="81">
        <v>38470</v>
      </c>
      <c r="F66" s="225" t="s">
        <v>405</v>
      </c>
    </row>
    <row r="67" spans="1:6" ht="23.25" x14ac:dyDescent="0.5">
      <c r="A67" s="74">
        <v>62</v>
      </c>
      <c r="B67" s="74" t="s">
        <v>348</v>
      </c>
      <c r="C67" s="75" t="s">
        <v>289</v>
      </c>
      <c r="D67" s="78" t="s">
        <v>193</v>
      </c>
      <c r="E67" s="76">
        <v>13475</v>
      </c>
      <c r="F67" s="225" t="s">
        <v>407</v>
      </c>
    </row>
    <row r="68" spans="1:6" ht="23.25" x14ac:dyDescent="0.5">
      <c r="A68" s="74">
        <v>63</v>
      </c>
      <c r="B68" s="74" t="s">
        <v>516</v>
      </c>
      <c r="C68" s="75" t="s">
        <v>376</v>
      </c>
      <c r="D68" s="75" t="s">
        <v>188</v>
      </c>
      <c r="E68" s="76">
        <v>19220</v>
      </c>
      <c r="F68" s="225" t="s">
        <v>406</v>
      </c>
    </row>
    <row r="69" spans="1:6" ht="23.25" x14ac:dyDescent="0.5">
      <c r="A69" s="74">
        <v>64</v>
      </c>
      <c r="B69" s="74" t="s">
        <v>537</v>
      </c>
      <c r="C69" s="75" t="s">
        <v>296</v>
      </c>
      <c r="D69" s="75" t="s">
        <v>191</v>
      </c>
      <c r="E69" s="76">
        <v>4900</v>
      </c>
      <c r="F69" s="225" t="s">
        <v>456</v>
      </c>
    </row>
    <row r="70" spans="1:6" ht="23.25" x14ac:dyDescent="0.5">
      <c r="A70" s="74">
        <v>65</v>
      </c>
      <c r="B70" s="74" t="s">
        <v>537</v>
      </c>
      <c r="C70" s="75" t="s">
        <v>297</v>
      </c>
      <c r="D70" s="75" t="s">
        <v>193</v>
      </c>
      <c r="E70" s="76">
        <v>5000</v>
      </c>
      <c r="F70" s="225" t="s">
        <v>457</v>
      </c>
    </row>
    <row r="71" spans="1:6" ht="23.25" x14ac:dyDescent="0.5">
      <c r="A71" s="74">
        <v>66</v>
      </c>
      <c r="B71" s="74" t="s">
        <v>536</v>
      </c>
      <c r="C71" s="75" t="s">
        <v>298</v>
      </c>
      <c r="D71" s="75" t="s">
        <v>193</v>
      </c>
      <c r="E71" s="76">
        <v>5000</v>
      </c>
      <c r="F71" s="225" t="s">
        <v>458</v>
      </c>
    </row>
    <row r="72" spans="1:6" ht="23.25" x14ac:dyDescent="0.5">
      <c r="A72" s="74">
        <v>67</v>
      </c>
      <c r="B72" s="74" t="s">
        <v>535</v>
      </c>
      <c r="C72" s="75" t="s">
        <v>300</v>
      </c>
      <c r="D72" s="75" t="s">
        <v>299</v>
      </c>
      <c r="E72" s="76">
        <v>19580</v>
      </c>
      <c r="F72" s="225" t="s">
        <v>409</v>
      </c>
    </row>
    <row r="73" spans="1:6" ht="23.25" x14ac:dyDescent="0.5">
      <c r="A73" s="74">
        <v>68</v>
      </c>
      <c r="B73" s="74" t="s">
        <v>534</v>
      </c>
      <c r="C73" s="75" t="s">
        <v>301</v>
      </c>
      <c r="D73" s="75" t="s">
        <v>191</v>
      </c>
      <c r="E73" s="76">
        <v>25770</v>
      </c>
      <c r="F73" s="225" t="s">
        <v>410</v>
      </c>
    </row>
    <row r="74" spans="1:6" ht="23.25" x14ac:dyDescent="0.5">
      <c r="A74" s="74">
        <v>69</v>
      </c>
      <c r="B74" s="77" t="s">
        <v>533</v>
      </c>
      <c r="C74" s="80" t="s">
        <v>302</v>
      </c>
      <c r="D74" s="80" t="s">
        <v>303</v>
      </c>
      <c r="E74" s="81">
        <v>5000</v>
      </c>
      <c r="F74" s="227" t="s">
        <v>464</v>
      </c>
    </row>
    <row r="75" spans="1:6" ht="23.25" x14ac:dyDescent="0.5">
      <c r="A75" s="74">
        <v>70</v>
      </c>
      <c r="B75" s="74" t="s">
        <v>532</v>
      </c>
      <c r="C75" s="75" t="s">
        <v>304</v>
      </c>
      <c r="D75" s="75" t="s">
        <v>191</v>
      </c>
      <c r="E75" s="76">
        <v>10930</v>
      </c>
      <c r="F75" s="225" t="s">
        <v>411</v>
      </c>
    </row>
    <row r="76" spans="1:6" ht="23.25" x14ac:dyDescent="0.5">
      <c r="A76" s="74">
        <v>71</v>
      </c>
      <c r="B76" s="74" t="s">
        <v>531</v>
      </c>
      <c r="C76" s="75" t="s">
        <v>305</v>
      </c>
      <c r="D76" s="75" t="s">
        <v>191</v>
      </c>
      <c r="E76" s="76">
        <v>34570</v>
      </c>
      <c r="F76" s="225" t="s">
        <v>412</v>
      </c>
    </row>
    <row r="77" spans="1:6" ht="23.25" x14ac:dyDescent="0.5">
      <c r="A77" s="74">
        <v>72</v>
      </c>
      <c r="B77" s="74" t="s">
        <v>530</v>
      </c>
      <c r="C77" s="75" t="s">
        <v>306</v>
      </c>
      <c r="D77" s="75" t="s">
        <v>299</v>
      </c>
      <c r="E77" s="76">
        <v>12775</v>
      </c>
      <c r="F77" s="225" t="s">
        <v>413</v>
      </c>
    </row>
    <row r="78" spans="1:6" ht="23.25" x14ac:dyDescent="0.5">
      <c r="A78" s="74">
        <v>73</v>
      </c>
      <c r="B78" s="74" t="s">
        <v>530</v>
      </c>
      <c r="C78" s="75" t="s">
        <v>306</v>
      </c>
      <c r="D78" s="75" t="s">
        <v>299</v>
      </c>
      <c r="E78" s="76">
        <v>17675</v>
      </c>
      <c r="F78" s="225" t="s">
        <v>414</v>
      </c>
    </row>
    <row r="79" spans="1:6" ht="23.25" x14ac:dyDescent="0.5">
      <c r="A79" s="74">
        <v>74</v>
      </c>
      <c r="B79" s="77" t="s">
        <v>529</v>
      </c>
      <c r="C79" s="80" t="s">
        <v>377</v>
      </c>
      <c r="D79" s="80" t="s">
        <v>314</v>
      </c>
      <c r="E79" s="81">
        <v>14980</v>
      </c>
      <c r="F79" s="225" t="s">
        <v>415</v>
      </c>
    </row>
    <row r="80" spans="1:6" ht="23.25" x14ac:dyDescent="0.5">
      <c r="A80" s="74">
        <v>75</v>
      </c>
      <c r="B80" s="77" t="s">
        <v>528</v>
      </c>
      <c r="C80" s="80" t="s">
        <v>257</v>
      </c>
      <c r="D80" s="80" t="s">
        <v>191</v>
      </c>
      <c r="E80" s="81">
        <v>41865</v>
      </c>
      <c r="F80" s="225" t="s">
        <v>416</v>
      </c>
    </row>
    <row r="81" spans="1:6" ht="23.25" x14ac:dyDescent="0.5">
      <c r="A81" s="72" t="s">
        <v>184</v>
      </c>
      <c r="B81" s="72" t="s">
        <v>294</v>
      </c>
      <c r="C81" s="72" t="s">
        <v>0</v>
      </c>
      <c r="D81" s="72" t="s">
        <v>185</v>
      </c>
      <c r="E81" s="73" t="s">
        <v>177</v>
      </c>
      <c r="F81" s="224" t="s">
        <v>186</v>
      </c>
    </row>
    <row r="82" spans="1:6" ht="23.25" x14ac:dyDescent="0.5">
      <c r="A82" s="74">
        <v>76</v>
      </c>
      <c r="B82" s="77" t="s">
        <v>527</v>
      </c>
      <c r="C82" s="80" t="s">
        <v>315</v>
      </c>
      <c r="D82" s="80" t="s">
        <v>191</v>
      </c>
      <c r="E82" s="81">
        <v>24975</v>
      </c>
      <c r="F82" s="225" t="s">
        <v>417</v>
      </c>
    </row>
    <row r="83" spans="1:6" ht="23.25" x14ac:dyDescent="0.5">
      <c r="A83" s="74">
        <v>77</v>
      </c>
      <c r="B83" s="77" t="s">
        <v>526</v>
      </c>
      <c r="C83" s="80" t="s">
        <v>316</v>
      </c>
      <c r="D83" s="80" t="s">
        <v>191</v>
      </c>
      <c r="E83" s="81">
        <v>19585</v>
      </c>
      <c r="F83" s="225" t="s">
        <v>418</v>
      </c>
    </row>
    <row r="84" spans="1:6" ht="23.25" x14ac:dyDescent="0.5">
      <c r="A84" s="74">
        <v>78</v>
      </c>
      <c r="B84" s="74" t="s">
        <v>525</v>
      </c>
      <c r="C84" s="75" t="s">
        <v>317</v>
      </c>
      <c r="D84" s="75" t="s">
        <v>318</v>
      </c>
      <c r="E84" s="76">
        <v>14950</v>
      </c>
      <c r="F84" s="225" t="s">
        <v>419</v>
      </c>
    </row>
    <row r="85" spans="1:6" ht="23.25" x14ac:dyDescent="0.5">
      <c r="A85" s="74">
        <v>79</v>
      </c>
      <c r="B85" s="74" t="s">
        <v>524</v>
      </c>
      <c r="C85" s="75" t="s">
        <v>319</v>
      </c>
      <c r="D85" s="75" t="s">
        <v>320</v>
      </c>
      <c r="E85" s="76">
        <v>5950</v>
      </c>
      <c r="F85" s="225">
        <v>41739</v>
      </c>
    </row>
    <row r="86" spans="1:6" ht="23.25" x14ac:dyDescent="0.5">
      <c r="A86" s="74">
        <v>80</v>
      </c>
      <c r="B86" s="74" t="s">
        <v>523</v>
      </c>
      <c r="C86" s="75" t="s">
        <v>321</v>
      </c>
      <c r="D86" s="75" t="s">
        <v>322</v>
      </c>
      <c r="E86" s="76">
        <v>18675</v>
      </c>
      <c r="F86" s="225" t="s">
        <v>420</v>
      </c>
    </row>
    <row r="87" spans="1:6" ht="23.25" x14ac:dyDescent="0.5">
      <c r="A87" s="74">
        <v>81</v>
      </c>
      <c r="B87" s="74" t="s">
        <v>348</v>
      </c>
      <c r="C87" s="75" t="s">
        <v>323</v>
      </c>
      <c r="D87" s="75" t="s">
        <v>324</v>
      </c>
      <c r="E87" s="76">
        <v>8390</v>
      </c>
      <c r="F87" s="225" t="s">
        <v>422</v>
      </c>
    </row>
    <row r="88" spans="1:6" ht="23.25" x14ac:dyDescent="0.5">
      <c r="A88" s="74">
        <v>82</v>
      </c>
      <c r="B88" s="74" t="s">
        <v>348</v>
      </c>
      <c r="C88" s="75" t="s">
        <v>325</v>
      </c>
      <c r="D88" s="75" t="s">
        <v>326</v>
      </c>
      <c r="E88" s="76">
        <v>5685</v>
      </c>
      <c r="F88" s="225" t="s">
        <v>424</v>
      </c>
    </row>
    <row r="89" spans="1:6" ht="23.25" x14ac:dyDescent="0.5">
      <c r="A89" s="74">
        <v>83</v>
      </c>
      <c r="B89" s="74" t="s">
        <v>348</v>
      </c>
      <c r="C89" s="75" t="s">
        <v>327</v>
      </c>
      <c r="D89" s="75" t="s">
        <v>193</v>
      </c>
      <c r="E89" s="76">
        <v>9975</v>
      </c>
      <c r="F89" s="225" t="s">
        <v>425</v>
      </c>
    </row>
    <row r="90" spans="1:6" ht="23.25" x14ac:dyDescent="0.5">
      <c r="A90" s="74">
        <v>84</v>
      </c>
      <c r="B90" s="74" t="s">
        <v>522</v>
      </c>
      <c r="C90" s="75" t="s">
        <v>328</v>
      </c>
      <c r="D90" s="75" t="s">
        <v>314</v>
      </c>
      <c r="E90" s="76">
        <v>5000</v>
      </c>
      <c r="F90" s="225" t="s">
        <v>465</v>
      </c>
    </row>
    <row r="91" spans="1:6" ht="23.25" x14ac:dyDescent="0.5">
      <c r="A91" s="74">
        <v>85</v>
      </c>
      <c r="B91" s="74" t="s">
        <v>521</v>
      </c>
      <c r="C91" s="75" t="s">
        <v>190</v>
      </c>
      <c r="D91" s="75" t="s">
        <v>192</v>
      </c>
      <c r="E91" s="76">
        <v>7480</v>
      </c>
      <c r="F91" s="225" t="s">
        <v>426</v>
      </c>
    </row>
    <row r="92" spans="1:6" ht="23.25" x14ac:dyDescent="0.5">
      <c r="A92" s="74">
        <v>86</v>
      </c>
      <c r="B92" s="74" t="s">
        <v>520</v>
      </c>
      <c r="C92" s="75" t="s">
        <v>329</v>
      </c>
      <c r="D92" s="75" t="s">
        <v>193</v>
      </c>
      <c r="E92" s="76">
        <v>15575</v>
      </c>
      <c r="F92" s="225" t="s">
        <v>421</v>
      </c>
    </row>
    <row r="93" spans="1:6" ht="23.25" x14ac:dyDescent="0.5">
      <c r="A93" s="74">
        <v>87</v>
      </c>
      <c r="B93" s="74" t="s">
        <v>333</v>
      </c>
      <c r="C93" s="75" t="s">
        <v>378</v>
      </c>
      <c r="D93" s="75" t="s">
        <v>188</v>
      </c>
      <c r="E93" s="76">
        <v>6435</v>
      </c>
      <c r="F93" s="225" t="s">
        <v>425</v>
      </c>
    </row>
    <row r="94" spans="1:6" ht="23.25" x14ac:dyDescent="0.5">
      <c r="A94" s="74">
        <v>88</v>
      </c>
      <c r="B94" s="74" t="s">
        <v>348</v>
      </c>
      <c r="C94" s="75" t="s">
        <v>379</v>
      </c>
      <c r="D94" s="75" t="s">
        <v>299</v>
      </c>
      <c r="E94" s="76">
        <v>9980</v>
      </c>
      <c r="F94" s="225" t="s">
        <v>423</v>
      </c>
    </row>
    <row r="95" spans="1:6" ht="23.25" x14ac:dyDescent="0.5">
      <c r="A95" s="74">
        <v>89</v>
      </c>
      <c r="B95" s="74" t="s">
        <v>348</v>
      </c>
      <c r="C95" s="75" t="s">
        <v>330</v>
      </c>
      <c r="D95" s="75" t="s">
        <v>299</v>
      </c>
      <c r="E95" s="76">
        <v>6730</v>
      </c>
      <c r="F95" s="225" t="s">
        <v>425</v>
      </c>
    </row>
    <row r="96" spans="1:6" ht="23.25" x14ac:dyDescent="0.5">
      <c r="A96" s="74">
        <v>90</v>
      </c>
      <c r="B96" s="74" t="s">
        <v>519</v>
      </c>
      <c r="C96" s="75" t="s">
        <v>331</v>
      </c>
      <c r="D96" s="75" t="s">
        <v>332</v>
      </c>
      <c r="E96" s="76">
        <v>16270</v>
      </c>
      <c r="F96" s="225" t="s">
        <v>427</v>
      </c>
    </row>
    <row r="97" spans="1:7" ht="23.25" x14ac:dyDescent="0.5">
      <c r="A97" s="74">
        <v>91</v>
      </c>
      <c r="B97" s="74" t="s">
        <v>518</v>
      </c>
      <c r="C97" s="75" t="s">
        <v>350</v>
      </c>
      <c r="D97" s="75" t="s">
        <v>299</v>
      </c>
      <c r="E97" s="76">
        <v>11330</v>
      </c>
      <c r="F97" s="225" t="s">
        <v>428</v>
      </c>
    </row>
    <row r="98" spans="1:7" ht="23.25" x14ac:dyDescent="0.5">
      <c r="A98" s="74">
        <v>92</v>
      </c>
      <c r="B98" s="74" t="s">
        <v>348</v>
      </c>
      <c r="C98" s="75" t="s">
        <v>351</v>
      </c>
      <c r="D98" s="75" t="s">
        <v>326</v>
      </c>
      <c r="E98" s="76">
        <v>12475</v>
      </c>
      <c r="F98" s="225" t="s">
        <v>429</v>
      </c>
    </row>
    <row r="99" spans="1:7" ht="23.25" x14ac:dyDescent="0.5">
      <c r="A99" s="74">
        <v>93</v>
      </c>
      <c r="B99" s="74" t="s">
        <v>348</v>
      </c>
      <c r="C99" s="75" t="s">
        <v>374</v>
      </c>
      <c r="D99" s="75" t="s">
        <v>326</v>
      </c>
      <c r="E99" s="76">
        <v>7480</v>
      </c>
      <c r="F99" s="225" t="s">
        <v>430</v>
      </c>
    </row>
    <row r="100" spans="1:7" ht="23.25" x14ac:dyDescent="0.5">
      <c r="A100" s="74">
        <v>94</v>
      </c>
      <c r="B100" s="74" t="s">
        <v>517</v>
      </c>
      <c r="C100" s="75" t="s">
        <v>352</v>
      </c>
      <c r="D100" s="75" t="s">
        <v>273</v>
      </c>
      <c r="E100" s="76">
        <v>20770</v>
      </c>
      <c r="F100" s="225" t="s">
        <v>431</v>
      </c>
    </row>
    <row r="101" spans="1:7" ht="23.25" x14ac:dyDescent="0.5">
      <c r="A101" s="74">
        <v>95</v>
      </c>
      <c r="B101" s="74" t="s">
        <v>517</v>
      </c>
      <c r="C101" s="75" t="s">
        <v>353</v>
      </c>
      <c r="D101" s="75" t="s">
        <v>273</v>
      </c>
      <c r="E101" s="76">
        <v>9585</v>
      </c>
      <c r="F101" s="225" t="s">
        <v>432</v>
      </c>
    </row>
    <row r="102" spans="1:7" ht="23.25" x14ac:dyDescent="0.5">
      <c r="A102" s="74">
        <v>96</v>
      </c>
      <c r="B102" s="74" t="s">
        <v>348</v>
      </c>
      <c r="C102" s="75" t="s">
        <v>354</v>
      </c>
      <c r="D102" s="75" t="s">
        <v>322</v>
      </c>
      <c r="E102" s="76">
        <v>14380</v>
      </c>
      <c r="F102" s="225" t="s">
        <v>433</v>
      </c>
      <c r="G102" s="91"/>
    </row>
    <row r="103" spans="1:7" ht="23.25" x14ac:dyDescent="0.5">
      <c r="A103" s="74">
        <v>97</v>
      </c>
      <c r="B103" s="74" t="s">
        <v>538</v>
      </c>
      <c r="C103" s="75" t="s">
        <v>356</v>
      </c>
      <c r="D103" s="75" t="s">
        <v>193</v>
      </c>
      <c r="E103" s="76">
        <v>9745</v>
      </c>
      <c r="F103" s="225" t="s">
        <v>434</v>
      </c>
    </row>
    <row r="104" spans="1:7" ht="23.25" x14ac:dyDescent="0.5">
      <c r="A104" s="74">
        <v>98</v>
      </c>
      <c r="B104" s="74" t="s">
        <v>348</v>
      </c>
      <c r="C104" s="75" t="s">
        <v>357</v>
      </c>
      <c r="D104" s="75" t="s">
        <v>193</v>
      </c>
      <c r="E104" s="76">
        <v>20970</v>
      </c>
      <c r="F104" s="225" t="s">
        <v>435</v>
      </c>
      <c r="G104" s="91"/>
    </row>
    <row r="105" spans="1:7" ht="23.25" x14ac:dyDescent="0.5">
      <c r="A105" s="74">
        <v>99</v>
      </c>
      <c r="B105" s="74" t="s">
        <v>348</v>
      </c>
      <c r="C105" s="75" t="s">
        <v>358</v>
      </c>
      <c r="D105" s="75" t="s">
        <v>322</v>
      </c>
      <c r="E105" s="76">
        <v>4295</v>
      </c>
      <c r="F105" s="225" t="s">
        <v>436</v>
      </c>
      <c r="G105" s="91"/>
    </row>
    <row r="106" spans="1:7" ht="23.25" x14ac:dyDescent="0.5">
      <c r="A106" s="74">
        <v>100</v>
      </c>
      <c r="B106" s="74" t="s">
        <v>348</v>
      </c>
      <c r="C106" s="75" t="s">
        <v>359</v>
      </c>
      <c r="D106" s="75" t="s">
        <v>322</v>
      </c>
      <c r="E106" s="76">
        <v>2160</v>
      </c>
      <c r="F106" s="225" t="s">
        <v>437</v>
      </c>
      <c r="G106" s="91"/>
    </row>
    <row r="107" spans="1:7" ht="23.25" x14ac:dyDescent="0.5">
      <c r="A107" s="74">
        <v>101</v>
      </c>
      <c r="B107" s="74" t="s">
        <v>539</v>
      </c>
      <c r="C107" s="75" t="s">
        <v>380</v>
      </c>
      <c r="D107" s="75" t="s">
        <v>193</v>
      </c>
      <c r="E107" s="76">
        <v>13680</v>
      </c>
      <c r="F107" s="225" t="s">
        <v>247</v>
      </c>
      <c r="G107" s="91"/>
    </row>
    <row r="108" spans="1:7" ht="23.25" x14ac:dyDescent="0.5">
      <c r="A108" s="74">
        <v>102</v>
      </c>
      <c r="B108" s="74" t="s">
        <v>348</v>
      </c>
      <c r="C108" s="75" t="s">
        <v>360</v>
      </c>
      <c r="D108" s="75" t="s">
        <v>322</v>
      </c>
      <c r="E108" s="76">
        <v>4700</v>
      </c>
      <c r="F108" s="225" t="s">
        <v>247</v>
      </c>
      <c r="G108" s="91"/>
    </row>
    <row r="109" spans="1:7" ht="23.25" x14ac:dyDescent="0.5">
      <c r="A109" s="74">
        <v>103</v>
      </c>
      <c r="B109" s="74" t="s">
        <v>540</v>
      </c>
      <c r="C109" s="75" t="s">
        <v>361</v>
      </c>
      <c r="D109" s="75" t="s">
        <v>193</v>
      </c>
      <c r="E109" s="76">
        <v>4500</v>
      </c>
      <c r="F109" s="225" t="s">
        <v>466</v>
      </c>
      <c r="G109" s="91"/>
    </row>
    <row r="110" spans="1:7" ht="23.25" x14ac:dyDescent="0.5">
      <c r="A110" s="74">
        <v>104</v>
      </c>
      <c r="B110" s="74" t="s">
        <v>541</v>
      </c>
      <c r="C110" s="75" t="s">
        <v>381</v>
      </c>
      <c r="D110" s="75" t="s">
        <v>362</v>
      </c>
      <c r="E110" s="76">
        <v>98500</v>
      </c>
      <c r="F110" s="225" t="s">
        <v>438</v>
      </c>
      <c r="G110" s="91"/>
    </row>
    <row r="111" spans="1:7" ht="23.25" x14ac:dyDescent="0.5">
      <c r="A111" s="74">
        <v>105</v>
      </c>
      <c r="B111" s="74" t="s">
        <v>542</v>
      </c>
      <c r="C111" s="75" t="s">
        <v>365</v>
      </c>
      <c r="D111" s="75" t="s">
        <v>362</v>
      </c>
      <c r="E111" s="76">
        <v>8135</v>
      </c>
      <c r="F111" s="225" t="s">
        <v>439</v>
      </c>
      <c r="G111" s="91"/>
    </row>
    <row r="112" spans="1:7" ht="23.25" x14ac:dyDescent="0.5">
      <c r="A112" s="74">
        <v>106</v>
      </c>
      <c r="B112" s="74" t="s">
        <v>543</v>
      </c>
      <c r="C112" s="75" t="s">
        <v>366</v>
      </c>
      <c r="D112" s="75" t="s">
        <v>191</v>
      </c>
      <c r="E112" s="76">
        <v>3540</v>
      </c>
      <c r="F112" s="225" t="s">
        <v>440</v>
      </c>
      <c r="G112" s="91"/>
    </row>
    <row r="113" spans="1:7" ht="23.25" x14ac:dyDescent="0.5">
      <c r="A113" s="74">
        <v>107</v>
      </c>
      <c r="B113" s="74" t="s">
        <v>348</v>
      </c>
      <c r="C113" s="75" t="s">
        <v>367</v>
      </c>
      <c r="D113" s="75" t="s">
        <v>191</v>
      </c>
      <c r="E113" s="76">
        <v>3250</v>
      </c>
      <c r="F113" s="225" t="s">
        <v>391</v>
      </c>
      <c r="G113" s="91"/>
    </row>
    <row r="114" spans="1:7" ht="23.25" x14ac:dyDescent="0.5">
      <c r="A114" s="74">
        <v>108</v>
      </c>
      <c r="B114" s="74" t="s">
        <v>544</v>
      </c>
      <c r="C114" s="75" t="s">
        <v>368</v>
      </c>
      <c r="D114" s="75" t="s">
        <v>191</v>
      </c>
      <c r="E114" s="76">
        <v>2950</v>
      </c>
      <c r="F114" s="225" t="s">
        <v>441</v>
      </c>
      <c r="G114" s="91"/>
    </row>
    <row r="115" spans="1:7" ht="23.25" x14ac:dyDescent="0.5">
      <c r="A115" s="74">
        <v>109</v>
      </c>
      <c r="B115" s="74" t="s">
        <v>545</v>
      </c>
      <c r="C115" s="75" t="s">
        <v>369</v>
      </c>
      <c r="D115" s="75" t="s">
        <v>370</v>
      </c>
      <c r="E115" s="76">
        <v>4191</v>
      </c>
      <c r="F115" s="225" t="s">
        <v>442</v>
      </c>
      <c r="G115" s="91"/>
    </row>
    <row r="116" spans="1:7" ht="23.25" x14ac:dyDescent="0.5">
      <c r="A116" s="74">
        <v>110</v>
      </c>
      <c r="B116" s="74" t="s">
        <v>546</v>
      </c>
      <c r="C116" s="75" t="s">
        <v>371</v>
      </c>
      <c r="D116" s="75" t="s">
        <v>191</v>
      </c>
      <c r="E116" s="76">
        <v>5000</v>
      </c>
      <c r="F116" s="225" t="s">
        <v>443</v>
      </c>
      <c r="G116" s="91"/>
    </row>
    <row r="117" spans="1:7" ht="23.25" x14ac:dyDescent="0.5">
      <c r="A117" s="74">
        <v>111</v>
      </c>
      <c r="B117" s="74" t="s">
        <v>547</v>
      </c>
      <c r="C117" s="75" t="s">
        <v>372</v>
      </c>
      <c r="D117" s="75" t="s">
        <v>191</v>
      </c>
      <c r="E117" s="76">
        <v>5000</v>
      </c>
      <c r="F117" s="225" t="s">
        <v>444</v>
      </c>
      <c r="G117" s="91"/>
    </row>
    <row r="118" spans="1:7" ht="23.25" x14ac:dyDescent="0.5">
      <c r="A118" s="74">
        <v>112</v>
      </c>
      <c r="B118" s="90" t="s">
        <v>548</v>
      </c>
      <c r="C118" s="78" t="s">
        <v>386</v>
      </c>
      <c r="D118" s="78" t="s">
        <v>191</v>
      </c>
      <c r="E118" s="79">
        <v>5000</v>
      </c>
      <c r="F118" s="228" t="s">
        <v>467</v>
      </c>
      <c r="G118" s="91"/>
    </row>
    <row r="119" spans="1:7" ht="23.25" x14ac:dyDescent="0.5">
      <c r="A119" s="74">
        <v>113</v>
      </c>
      <c r="B119" s="74" t="s">
        <v>981</v>
      </c>
      <c r="C119" s="75" t="s">
        <v>982</v>
      </c>
      <c r="D119" s="75" t="s">
        <v>193</v>
      </c>
      <c r="E119" s="76">
        <v>5000</v>
      </c>
      <c r="F119" s="225" t="s">
        <v>460</v>
      </c>
      <c r="G119" s="91"/>
    </row>
    <row r="120" spans="1:7" ht="23.25" x14ac:dyDescent="0.5">
      <c r="A120" s="74">
        <v>114</v>
      </c>
      <c r="B120" s="74" t="s">
        <v>983</v>
      </c>
      <c r="C120" s="75" t="s">
        <v>984</v>
      </c>
      <c r="D120" s="75" t="s">
        <v>191</v>
      </c>
      <c r="E120" s="76">
        <v>5000</v>
      </c>
      <c r="F120" s="225"/>
      <c r="G120" s="91"/>
    </row>
    <row r="121" spans="1:7" ht="23.25" x14ac:dyDescent="0.5">
      <c r="A121" s="72" t="s">
        <v>184</v>
      </c>
      <c r="B121" s="72" t="s">
        <v>294</v>
      </c>
      <c r="C121" s="72" t="s">
        <v>0</v>
      </c>
      <c r="D121" s="72" t="s">
        <v>185</v>
      </c>
      <c r="E121" s="73" t="s">
        <v>177</v>
      </c>
      <c r="F121" s="224" t="s">
        <v>186</v>
      </c>
    </row>
    <row r="122" spans="1:7" ht="23.25" x14ac:dyDescent="0.5">
      <c r="A122" s="74">
        <v>115</v>
      </c>
      <c r="B122" s="74" t="s">
        <v>1010</v>
      </c>
      <c r="C122" s="75" t="s">
        <v>1005</v>
      </c>
      <c r="D122" s="75" t="s">
        <v>191</v>
      </c>
      <c r="E122" s="76">
        <v>5000</v>
      </c>
      <c r="F122" s="225"/>
      <c r="G122" s="91"/>
    </row>
    <row r="123" spans="1:7" ht="23.25" x14ac:dyDescent="0.5">
      <c r="A123" s="74">
        <v>116</v>
      </c>
      <c r="B123" s="74" t="s">
        <v>1011</v>
      </c>
      <c r="C123" s="75" t="s">
        <v>1006</v>
      </c>
      <c r="D123" s="75" t="s">
        <v>191</v>
      </c>
      <c r="E123" s="76">
        <v>4540</v>
      </c>
      <c r="F123" s="225"/>
      <c r="G123" s="91"/>
    </row>
    <row r="124" spans="1:7" ht="23.25" x14ac:dyDescent="0.5">
      <c r="A124" s="74">
        <v>117</v>
      </c>
      <c r="B124" s="74" t="s">
        <v>408</v>
      </c>
      <c r="C124" s="75" t="s">
        <v>1007</v>
      </c>
      <c r="D124" s="75" t="s">
        <v>193</v>
      </c>
      <c r="E124" s="76">
        <v>5000</v>
      </c>
      <c r="F124" s="225"/>
      <c r="G124" s="91"/>
    </row>
    <row r="125" spans="1:7" ht="23.25" x14ac:dyDescent="0.5">
      <c r="A125" s="74">
        <v>118</v>
      </c>
      <c r="B125" s="74" t="s">
        <v>1012</v>
      </c>
      <c r="C125" s="75" t="s">
        <v>1008</v>
      </c>
      <c r="D125" s="75" t="s">
        <v>193</v>
      </c>
      <c r="E125" s="76">
        <v>5000</v>
      </c>
      <c r="F125" s="225"/>
      <c r="G125" s="91"/>
    </row>
    <row r="126" spans="1:7" ht="23.25" x14ac:dyDescent="0.5">
      <c r="A126" s="74">
        <v>119</v>
      </c>
      <c r="B126" s="74" t="s">
        <v>1023</v>
      </c>
      <c r="C126" s="75" t="s">
        <v>1024</v>
      </c>
      <c r="D126" s="75" t="s">
        <v>1025</v>
      </c>
      <c r="E126" s="76">
        <v>6250</v>
      </c>
      <c r="F126" s="225"/>
      <c r="G126" s="91"/>
    </row>
    <row r="127" spans="1:7" ht="23.25" x14ac:dyDescent="0.5">
      <c r="A127" s="74">
        <v>120</v>
      </c>
      <c r="B127" s="74" t="s">
        <v>201</v>
      </c>
      <c r="C127" s="75" t="s">
        <v>1026</v>
      </c>
      <c r="D127" s="75" t="s">
        <v>191</v>
      </c>
      <c r="E127" s="76">
        <v>5000</v>
      </c>
      <c r="F127" s="225"/>
      <c r="G127" s="91"/>
    </row>
    <row r="128" spans="1:7" ht="23.25" x14ac:dyDescent="0.5">
      <c r="A128" s="74">
        <v>121</v>
      </c>
      <c r="B128" s="74" t="s">
        <v>1027</v>
      </c>
      <c r="C128" s="75" t="s">
        <v>295</v>
      </c>
      <c r="D128" s="75" t="s">
        <v>191</v>
      </c>
      <c r="E128" s="76">
        <v>5000</v>
      </c>
      <c r="F128" s="225"/>
      <c r="G128" s="91"/>
    </row>
    <row r="129" spans="1:7" ht="23.25" x14ac:dyDescent="0.5">
      <c r="A129" s="74">
        <v>122</v>
      </c>
      <c r="B129" s="74" t="s">
        <v>1029</v>
      </c>
      <c r="C129" s="75" t="s">
        <v>1028</v>
      </c>
      <c r="D129" s="75" t="s">
        <v>191</v>
      </c>
      <c r="E129" s="76">
        <v>500</v>
      </c>
      <c r="F129" s="225"/>
      <c r="G129" s="91"/>
    </row>
    <row r="130" spans="1:7" ht="24" thickBot="1" x14ac:dyDescent="0.55000000000000004">
      <c r="A130" s="348" t="s">
        <v>45</v>
      </c>
      <c r="B130" s="348"/>
      <c r="C130" s="348"/>
      <c r="D130" s="348"/>
      <c r="E130" s="83">
        <f>SUM(E5:E129)</f>
        <v>2088165.25</v>
      </c>
      <c r="F130" s="229"/>
      <c r="G130" s="91"/>
    </row>
    <row r="131" spans="1:7" ht="24" thickTop="1" x14ac:dyDescent="0.5">
      <c r="A131" s="254"/>
      <c r="B131" s="254"/>
      <c r="C131" s="254"/>
      <c r="D131" s="254"/>
      <c r="E131" s="245"/>
      <c r="F131" s="246"/>
      <c r="G131" s="91"/>
    </row>
    <row r="132" spans="1:7" ht="23.25" x14ac:dyDescent="0.5">
      <c r="A132" s="84"/>
      <c r="B132" s="84"/>
      <c r="C132" s="85"/>
      <c r="D132" s="85" t="s">
        <v>178</v>
      </c>
      <c r="E132" s="86"/>
      <c r="F132" s="230"/>
    </row>
    <row r="133" spans="1:7" ht="23.25" x14ac:dyDescent="0.5">
      <c r="A133" s="84"/>
      <c r="B133" s="84"/>
      <c r="C133" s="84"/>
      <c r="D133" s="84" t="s">
        <v>278</v>
      </c>
      <c r="E133" s="86"/>
      <c r="F133" s="230"/>
    </row>
    <row r="134" spans="1:7" ht="23.25" x14ac:dyDescent="0.5">
      <c r="A134" s="84"/>
      <c r="B134" s="84"/>
      <c r="C134" s="84"/>
      <c r="D134" s="84" t="s">
        <v>279</v>
      </c>
      <c r="E134" s="86"/>
      <c r="F134" s="230"/>
    </row>
    <row r="135" spans="1:7" ht="23.25" x14ac:dyDescent="0.5">
      <c r="A135" s="84"/>
      <c r="B135" s="84"/>
      <c r="C135" s="84"/>
      <c r="D135" s="84"/>
      <c r="E135" s="86"/>
      <c r="F135" s="230"/>
    </row>
    <row r="136" spans="1:7" ht="23.25" x14ac:dyDescent="0.5">
      <c r="A136" s="84"/>
      <c r="B136" s="84"/>
      <c r="C136" s="84"/>
      <c r="D136" s="84"/>
      <c r="E136" s="86"/>
      <c r="F136" s="230"/>
    </row>
    <row r="137" spans="1:7" ht="23.25" x14ac:dyDescent="0.5">
      <c r="A137" s="84"/>
      <c r="B137" s="84"/>
      <c r="C137" s="84"/>
      <c r="D137" s="84"/>
      <c r="E137" s="86"/>
      <c r="F137" s="230"/>
    </row>
    <row r="138" spans="1:7" ht="23.25" x14ac:dyDescent="0.5">
      <c r="A138" s="84"/>
      <c r="B138" s="84"/>
      <c r="C138" s="84"/>
      <c r="D138" s="84"/>
      <c r="E138" s="86"/>
      <c r="F138" s="230"/>
    </row>
    <row r="139" spans="1:7" ht="23.25" x14ac:dyDescent="0.5">
      <c r="A139" s="84"/>
      <c r="B139" s="84"/>
      <c r="C139" s="84"/>
      <c r="D139" s="84"/>
      <c r="E139" s="86"/>
      <c r="F139" s="230"/>
    </row>
    <row r="140" spans="1:7" ht="23.25" x14ac:dyDescent="0.5">
      <c r="A140" s="84"/>
      <c r="B140" s="84"/>
      <c r="C140" s="84"/>
      <c r="D140" s="84"/>
      <c r="E140" s="86"/>
      <c r="F140" s="230"/>
    </row>
    <row r="141" spans="1:7" ht="23.25" x14ac:dyDescent="0.5">
      <c r="A141" s="84"/>
      <c r="B141" s="84"/>
      <c r="C141" s="84"/>
      <c r="D141" s="84"/>
      <c r="E141" s="86"/>
      <c r="F141" s="230"/>
    </row>
    <row r="142" spans="1:7" ht="23.25" x14ac:dyDescent="0.5">
      <c r="A142" s="84"/>
      <c r="B142" s="84"/>
      <c r="C142" s="84"/>
      <c r="D142" s="84"/>
      <c r="E142" s="86"/>
      <c r="F142" s="230"/>
    </row>
    <row r="143" spans="1:7" ht="23.25" x14ac:dyDescent="0.5">
      <c r="A143" s="84"/>
      <c r="B143" s="84"/>
      <c r="C143" s="84"/>
      <c r="D143" s="84"/>
      <c r="E143" s="86"/>
      <c r="F143" s="230"/>
    </row>
    <row r="144" spans="1:7" ht="23.25" x14ac:dyDescent="0.5">
      <c r="A144" s="84"/>
      <c r="B144" s="84"/>
      <c r="C144" s="84"/>
      <c r="D144" s="84"/>
      <c r="E144" s="86"/>
      <c r="F144" s="230"/>
    </row>
    <row r="145" spans="1:6" ht="23.25" x14ac:dyDescent="0.5">
      <c r="A145" s="84"/>
      <c r="B145" s="84"/>
      <c r="C145" s="84"/>
      <c r="D145" s="84"/>
      <c r="E145" s="86"/>
      <c r="F145" s="230"/>
    </row>
    <row r="146" spans="1:6" ht="23.25" x14ac:dyDescent="0.5">
      <c r="A146" s="84"/>
      <c r="B146" s="84"/>
      <c r="C146" s="84"/>
      <c r="D146" s="84"/>
      <c r="E146" s="86"/>
      <c r="F146" s="230"/>
    </row>
    <row r="147" spans="1:6" ht="23.25" x14ac:dyDescent="0.5">
      <c r="A147" s="84"/>
      <c r="B147" s="84"/>
      <c r="C147" s="84"/>
      <c r="D147" s="84"/>
      <c r="E147" s="86"/>
      <c r="F147" s="230"/>
    </row>
    <row r="148" spans="1:6" ht="23.25" x14ac:dyDescent="0.5">
      <c r="A148" s="84"/>
      <c r="B148" s="84"/>
      <c r="C148" s="84"/>
      <c r="D148" s="84"/>
      <c r="E148" s="86"/>
      <c r="F148" s="230"/>
    </row>
    <row r="149" spans="1:6" ht="23.25" x14ac:dyDescent="0.5">
      <c r="A149" s="84"/>
      <c r="B149" s="84"/>
      <c r="C149" s="84"/>
      <c r="D149" s="84"/>
      <c r="E149" s="86"/>
      <c r="F149" s="230"/>
    </row>
    <row r="150" spans="1:6" ht="23.25" x14ac:dyDescent="0.5">
      <c r="A150" s="84"/>
      <c r="B150" s="84"/>
      <c r="C150" s="84"/>
      <c r="D150" s="84"/>
      <c r="E150" s="86"/>
      <c r="F150" s="230"/>
    </row>
    <row r="151" spans="1:6" ht="23.25" x14ac:dyDescent="0.5">
      <c r="A151" s="84"/>
      <c r="B151" s="84"/>
      <c r="C151" s="84"/>
      <c r="D151" s="84"/>
      <c r="E151" s="86"/>
      <c r="F151" s="230"/>
    </row>
    <row r="152" spans="1:6" ht="23.25" x14ac:dyDescent="0.5">
      <c r="A152" s="84"/>
      <c r="B152" s="84"/>
      <c r="C152" s="84"/>
      <c r="D152" s="84"/>
      <c r="E152" s="86"/>
      <c r="F152" s="230"/>
    </row>
    <row r="153" spans="1:6" ht="23.25" x14ac:dyDescent="0.5">
      <c r="A153" s="84"/>
      <c r="B153" s="84"/>
      <c r="C153" s="84"/>
      <c r="D153" s="84"/>
      <c r="E153" s="86"/>
      <c r="F153" s="230"/>
    </row>
    <row r="154" spans="1:6" ht="23.25" x14ac:dyDescent="0.5">
      <c r="A154" s="84"/>
      <c r="B154" s="84"/>
      <c r="C154" s="84"/>
      <c r="D154" s="84"/>
      <c r="E154" s="86"/>
      <c r="F154" s="230"/>
    </row>
    <row r="155" spans="1:6" ht="23.25" x14ac:dyDescent="0.5">
      <c r="A155" s="84"/>
      <c r="B155" s="84"/>
      <c r="C155" s="84"/>
      <c r="D155" s="84"/>
      <c r="E155" s="86"/>
      <c r="F155" s="230"/>
    </row>
    <row r="156" spans="1:6" ht="23.25" x14ac:dyDescent="0.5">
      <c r="A156" s="84"/>
      <c r="B156" s="84"/>
      <c r="C156" s="84"/>
      <c r="D156" s="84"/>
      <c r="E156" s="86"/>
      <c r="F156" s="230"/>
    </row>
    <row r="157" spans="1:6" ht="23.25" x14ac:dyDescent="0.5">
      <c r="A157" s="84"/>
      <c r="B157" s="84"/>
      <c r="C157" s="84"/>
      <c r="D157" s="84"/>
      <c r="E157" s="86"/>
      <c r="F157" s="230"/>
    </row>
    <row r="158" spans="1:6" ht="23.25" x14ac:dyDescent="0.5">
      <c r="A158" s="84"/>
      <c r="B158" s="84"/>
      <c r="C158" s="84"/>
      <c r="D158" s="84"/>
      <c r="E158" s="86"/>
      <c r="F158" s="230"/>
    </row>
    <row r="159" spans="1:6" ht="23.25" x14ac:dyDescent="0.5">
      <c r="A159" s="84"/>
      <c r="B159" s="84"/>
      <c r="C159" s="84"/>
      <c r="D159" s="84"/>
      <c r="E159" s="86"/>
      <c r="F159" s="230"/>
    </row>
    <row r="160" spans="1:6" ht="23.25" x14ac:dyDescent="0.5">
      <c r="A160" s="84"/>
      <c r="B160" s="84"/>
      <c r="C160" s="84"/>
      <c r="D160" s="84"/>
      <c r="E160" s="86"/>
      <c r="F160" s="230"/>
    </row>
    <row r="161" spans="1:7" ht="23.25" x14ac:dyDescent="0.5">
      <c r="A161" s="84"/>
      <c r="B161" s="84"/>
      <c r="C161" s="84"/>
      <c r="D161" s="84"/>
      <c r="E161" s="86"/>
      <c r="F161" s="230"/>
    </row>
    <row r="162" spans="1:7" ht="23.25" x14ac:dyDescent="0.5">
      <c r="A162" s="84"/>
      <c r="B162" s="84"/>
      <c r="C162" s="84"/>
      <c r="D162" s="84"/>
      <c r="E162" s="86"/>
      <c r="F162" s="230"/>
    </row>
    <row r="163" spans="1:7" ht="23.25" x14ac:dyDescent="0.5">
      <c r="A163" s="84"/>
      <c r="B163" s="84"/>
      <c r="C163" s="84"/>
      <c r="D163" s="84"/>
      <c r="E163" s="86"/>
      <c r="F163" s="230"/>
    </row>
    <row r="164" spans="1:7" x14ac:dyDescent="0.4">
      <c r="G164" t="s">
        <v>310</v>
      </c>
    </row>
    <row r="166" spans="1:7" ht="23.25" x14ac:dyDescent="0.5">
      <c r="A166" s="347" t="s">
        <v>182</v>
      </c>
      <c r="B166" s="347"/>
      <c r="C166" s="347"/>
      <c r="D166" s="347"/>
      <c r="E166" s="347"/>
      <c r="F166" s="347"/>
    </row>
    <row r="167" spans="1:7" ht="23.25" x14ac:dyDescent="0.5">
      <c r="A167" s="347" t="s">
        <v>1013</v>
      </c>
      <c r="B167" s="347"/>
      <c r="C167" s="347"/>
      <c r="D167" s="347"/>
      <c r="E167" s="347"/>
      <c r="F167" s="347"/>
    </row>
    <row r="168" spans="1:7" ht="23.25" x14ac:dyDescent="0.5">
      <c r="A168" s="347" t="s">
        <v>1001</v>
      </c>
      <c r="B168" s="347"/>
      <c r="C168" s="347"/>
      <c r="D168" s="347"/>
      <c r="E168" s="347"/>
      <c r="F168" s="347"/>
    </row>
    <row r="169" spans="1:7" ht="23.25" x14ac:dyDescent="0.5">
      <c r="A169" s="72" t="s">
        <v>184</v>
      </c>
      <c r="B169" s="72" t="s">
        <v>294</v>
      </c>
      <c r="C169" s="72" t="s">
        <v>0</v>
      </c>
      <c r="D169" s="72" t="s">
        <v>185</v>
      </c>
      <c r="E169" s="73" t="s">
        <v>177</v>
      </c>
      <c r="F169" s="224" t="s">
        <v>186</v>
      </c>
    </row>
    <row r="170" spans="1:7" ht="23.25" x14ac:dyDescent="0.5">
      <c r="A170" s="74">
        <v>1</v>
      </c>
      <c r="B170" s="74" t="s">
        <v>1002</v>
      </c>
      <c r="C170" s="75" t="s">
        <v>1003</v>
      </c>
      <c r="D170" s="75" t="s">
        <v>1004</v>
      </c>
      <c r="E170" s="76">
        <v>125000</v>
      </c>
      <c r="F170" s="244" t="s">
        <v>1009</v>
      </c>
      <c r="G170" s="91"/>
    </row>
    <row r="171" spans="1:7" ht="23.25" x14ac:dyDescent="0.5">
      <c r="A171" s="74"/>
      <c r="B171" s="74"/>
      <c r="C171" s="75"/>
      <c r="D171" s="75"/>
      <c r="E171" s="76"/>
      <c r="F171" s="244"/>
      <c r="G171" s="91"/>
    </row>
    <row r="172" spans="1:7" ht="23.25" x14ac:dyDescent="0.5">
      <c r="A172" s="74"/>
      <c r="B172" s="74"/>
      <c r="C172" s="75"/>
      <c r="D172" s="75"/>
      <c r="E172" s="76"/>
      <c r="F172" s="225"/>
    </row>
    <row r="173" spans="1:7" ht="24" thickBot="1" x14ac:dyDescent="0.55000000000000004">
      <c r="A173" s="348" t="s">
        <v>45</v>
      </c>
      <c r="B173" s="348"/>
      <c r="C173" s="348"/>
      <c r="D173" s="348"/>
      <c r="E173" s="83">
        <f>SUM(E170:E172)</f>
        <v>125000</v>
      </c>
      <c r="F173" s="229"/>
      <c r="G173" s="91"/>
    </row>
    <row r="174" spans="1:7" ht="24" thickTop="1" x14ac:dyDescent="0.5">
      <c r="A174" s="254"/>
      <c r="B174" s="254"/>
      <c r="C174" s="254"/>
      <c r="D174" s="254"/>
      <c r="E174" s="245"/>
      <c r="F174" s="246"/>
      <c r="G174" s="91"/>
    </row>
    <row r="175" spans="1:7" ht="23.25" x14ac:dyDescent="0.5">
      <c r="A175" s="254"/>
      <c r="B175" s="254"/>
      <c r="C175" s="254"/>
      <c r="D175" s="254"/>
      <c r="E175" s="245"/>
      <c r="F175" s="246"/>
      <c r="G175" s="91"/>
    </row>
    <row r="176" spans="1:7" ht="23.25" x14ac:dyDescent="0.5">
      <c r="A176" s="254"/>
      <c r="B176" s="254"/>
      <c r="C176" s="254"/>
      <c r="D176" s="254"/>
      <c r="E176" s="245"/>
      <c r="F176" s="246"/>
      <c r="G176" s="91"/>
    </row>
    <row r="177" spans="1:7" ht="23.25" x14ac:dyDescent="0.5">
      <c r="A177" s="84"/>
      <c r="B177" s="84"/>
      <c r="C177" s="85"/>
      <c r="D177" s="85" t="s">
        <v>178</v>
      </c>
      <c r="E177" s="86"/>
      <c r="F177" s="230"/>
    </row>
    <row r="178" spans="1:7" ht="23.25" x14ac:dyDescent="0.5">
      <c r="A178" s="84"/>
      <c r="B178" s="84"/>
      <c r="C178" s="84"/>
      <c r="D178" s="84" t="s">
        <v>278</v>
      </c>
      <c r="E178" s="86"/>
      <c r="F178" s="230"/>
    </row>
    <row r="179" spans="1:7" ht="23.25" x14ac:dyDescent="0.5">
      <c r="A179" s="84"/>
      <c r="B179" s="84"/>
      <c r="C179" s="84"/>
      <c r="D179" s="84" t="s">
        <v>279</v>
      </c>
      <c r="E179" s="86"/>
      <c r="F179" s="230"/>
    </row>
    <row r="180" spans="1:7" x14ac:dyDescent="0.4">
      <c r="G180" t="s">
        <v>310</v>
      </c>
    </row>
  </sheetData>
  <mergeCells count="8">
    <mergeCell ref="A168:F168"/>
    <mergeCell ref="A173:D173"/>
    <mergeCell ref="A1:F1"/>
    <mergeCell ref="A2:F2"/>
    <mergeCell ref="A3:F3"/>
    <mergeCell ref="A130:D130"/>
    <mergeCell ref="A166:F166"/>
    <mergeCell ref="A167:F167"/>
  </mergeCells>
  <pageMargins left="0.70866141732283472" right="0.70866141732283472" top="0.98425196850393704" bottom="0.98425196850393704" header="0.31496062992125984" footer="0.31496062992125984"/>
  <pageSetup paperSize="9" scale="7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งบทดลอง(ใหม่)</vt:lpstr>
      <vt:lpstr>งบรับจ่ายเงินสด  55</vt:lpstr>
      <vt:lpstr>ใบต่อ  55</vt:lpstr>
      <vt:lpstr>รายละเอียด(หมายเหตุ2)</vt:lpstr>
      <vt:lpstr>ลน ภาษี ก.พ.57</vt:lpstr>
      <vt:lpstr>ประกันสัญญา ก.พ.57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Nong</cp:lastModifiedBy>
  <cp:lastPrinted>2014-03-07T09:26:23Z</cp:lastPrinted>
  <dcterms:created xsi:type="dcterms:W3CDTF">2005-01-27T06:24:37Z</dcterms:created>
  <dcterms:modified xsi:type="dcterms:W3CDTF">2014-03-10T01:42:54Z</dcterms:modified>
</cp:coreProperties>
</file>