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20" activeTab="0"/>
  </bookViews>
  <sheets>
    <sheet name="งบทดลองก่อนปิดบัญชี" sheetId="1" r:id="rId1"/>
    <sheet name="รับจ่ายเงินสด" sheetId="2" r:id="rId2"/>
    <sheet name="หมายเหตุ 1" sheetId="3" r:id="rId3"/>
    <sheet name="หมายเหตุ 2" sheetId="4" r:id="rId4"/>
    <sheet name="กระดาษทำการ" sheetId="5" r:id="rId5"/>
    <sheet name="งบทดลองหลังปิดบัญชี" sheetId="6" r:id="rId6"/>
    <sheet name="หมายเหตุ 1 ปิดบัญชี" sheetId="7" r:id="rId7"/>
    <sheet name="งบทรัพย์สิน" sheetId="8" r:id="rId8"/>
    <sheet name="ประกอบงบทส." sheetId="9" r:id="rId9"/>
    <sheet name="รายละเอียดลูกหนี้" sheetId="10" r:id="rId10"/>
    <sheet name="งบรายรับ-รายจ่าย" sheetId="11" r:id="rId11"/>
    <sheet name="งบแสดงฐานะการเงิน" sheetId="12" r:id="rId12"/>
    <sheet name="ค้างจ่าย" sheetId="13" r:id="rId13"/>
    <sheet name="รอจ่าย" sheetId="14" r:id="rId14"/>
    <sheet name="งบแสดงผลการดำเนินงาน" sheetId="15" r:id="rId15"/>
  </sheets>
  <externalReferences>
    <externalReference r:id="rId18"/>
    <externalReference r:id="rId19"/>
    <externalReference r:id="rId20"/>
  </externalReferences>
  <definedNames>
    <definedName name="_xlfn.BAHTTEXT" hidden="1">#NAME?</definedName>
    <definedName name="_xlnm.Print_Area" localSheetId="5">'งบทดลองหลังปิดบัญชี'!$A$1:$D$28</definedName>
  </definedNames>
  <calcPr fullCalcOnLoad="1"/>
</workbook>
</file>

<file path=xl/sharedStrings.xml><?xml version="1.0" encoding="utf-8"?>
<sst xmlns="http://schemas.openxmlformats.org/spreadsheetml/2006/main" count="825" uniqueCount="359">
  <si>
    <t>จำนวนเงิน</t>
  </si>
  <si>
    <t>องค์การบริหารส่วนตำบลบางคา</t>
  </si>
  <si>
    <t>รหัสบัญชี</t>
  </si>
  <si>
    <t>รายการ</t>
  </si>
  <si>
    <t>เดบิต</t>
  </si>
  <si>
    <t>เครดิต</t>
  </si>
  <si>
    <t>เงินสด</t>
  </si>
  <si>
    <t>ลูกหนี้เงินยืมเงินงบประมาณ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</si>
  <si>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</si>
  <si>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</si>
  <si>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</si>
  <si>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</si>
  <si>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</si>
  <si>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</si>
  <si>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</si>
  <si>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</si>
  <si>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</si>
  <si>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</si>
  <si>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รายจ่ายค้างจ่าย</t>
  </si>
  <si>
    <t>เงินรับฝาก</t>
  </si>
  <si>
    <t>เงินสะสม</t>
  </si>
  <si>
    <t>ประกันสัญญา</t>
  </si>
  <si>
    <t>ภาษีหัก ณ  ที่จ่าย</t>
  </si>
  <si>
    <t>บาท</t>
  </si>
  <si>
    <t>ประจำเดือน</t>
  </si>
  <si>
    <t>จนถึงปัจจุบัน</t>
  </si>
  <si>
    <t>ประมาณการ</t>
  </si>
  <si>
    <t>เกิดขึ้นจริง</t>
  </si>
  <si>
    <t>รหัส   บัญชี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</si>
  <si>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</si>
  <si>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</si>
  <si>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</si>
  <si>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</si>
  <si>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</si>
  <si>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</si>
  <si>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</si>
  <si>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</si>
  <si>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รวมรายรับ</t>
  </si>
  <si>
    <t xml:space="preserve">        รายงาน  รับ  -   จ่าย  เงินสด</t>
  </si>
  <si>
    <t>รายจ่าย</t>
  </si>
  <si>
    <t>เงินรับฝาก(หมายเหตุ 2 )</t>
  </si>
  <si>
    <t>รวมรายจ่าย</t>
  </si>
  <si>
    <t>รายรับสูงหรือต่ำกว่ารายจ่าย</t>
  </si>
  <si>
    <t>ยอดยกไป</t>
  </si>
  <si>
    <t>รวม</t>
  </si>
  <si>
    <t xml:space="preserve">                                                                </t>
  </si>
  <si>
    <t>รับฝาก (หมายเหตุ 2)</t>
  </si>
  <si>
    <t>รับ</t>
  </si>
  <si>
    <t>จ่าย</t>
  </si>
  <si>
    <t>อ.ราชสาส์น  จ.ฉะเชิงเทรา</t>
  </si>
  <si>
    <t>เงินรับฝาก (หมายเหตุ  1)</t>
  </si>
  <si>
    <t xml:space="preserve">รายรับ </t>
  </si>
  <si>
    <t>ภาษีหัก ณ ที่จ่าย</t>
  </si>
  <si>
    <t>เงินทุนสำรองเงินสะสม</t>
  </si>
  <si>
    <t>รายจ่ายรอจ่าย</t>
  </si>
  <si>
    <t>เงินทุนโครงการเศรษฐกิจชุมชนไก่ไข่ (กรุงไทย)</t>
  </si>
  <si>
    <t>เงินทุนโครงการเศรษฐกิจชุมชน บัญชีที่ 2 (ธกส.)</t>
  </si>
  <si>
    <t>รายจ่ายอื่น</t>
  </si>
  <si>
    <t>เงินฝากธ.กรุงไทย(กระแส) เลขที่ 203-6-02406-8</t>
  </si>
  <si>
    <t>เงินฝากธ.กรุงไทย(ออมทรัพย์) เลขที่ 203-1-24887-1</t>
  </si>
  <si>
    <t>เงินฝากธ.กรุงไทย(ออมทรัพย์) เลขที่ 203-1-36787-0</t>
  </si>
  <si>
    <t>เงินฝาก ธกส.(ออมทรัพย์) เลขที่ 125-2-19266-4</t>
  </si>
  <si>
    <t>ค่าใช้จ่ายในการจัดเก็บภาษีบำรุงท้องที่  5 %</t>
  </si>
  <si>
    <t>เงินส่วนลดในการจัดเก็บภาษีบำรุงท้องที่   6 %</t>
  </si>
  <si>
    <t>เงินทุนโครงการเศรษฐกิจชุมชน(ไก่ไข่) ธ.กรุงไทย</t>
  </si>
  <si>
    <t>เงินทุนโครงการเศรษฐกิจชุมชน (บัญชีที่ 2) ธกส.</t>
  </si>
  <si>
    <t>บัญชีเงินรับฝาก</t>
  </si>
  <si>
    <t>รายจ่ายผัดส่งใบสำคัญ</t>
  </si>
  <si>
    <t>ลูกหนี้เงินยืมเงินสะสม</t>
  </si>
  <si>
    <t>ค่าไฟฟ้าสถานีสูบน้ำด้วยไฟฟ้า  บ้านเตาอิฐ  หมู่ที่ 4</t>
  </si>
  <si>
    <t>งบทดลอง (หลังปิดบัญชี)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</si>
  <si>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</si>
  <si>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</si>
  <si>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</si>
  <si>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</si>
  <si>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</si>
  <si>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</si>
  <si>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</si>
  <si>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อสังหาริมทรัพย์</t>
  </si>
  <si>
    <t>หอถังสูงประปาหมู่บ้าน</t>
  </si>
  <si>
    <t>ก.รายได้องค์การบริหารส่วนตำบล</t>
  </si>
  <si>
    <t>หอกระจายข่าวหมู่บ้าน</t>
  </si>
  <si>
    <t>ข.เงินอุดหนุนรัฐบาล</t>
  </si>
  <si>
    <t>ถมที่ดินของ อบต.</t>
  </si>
  <si>
    <t>ค.จ่ายขาดเงินสะสม</t>
  </si>
  <si>
    <t>ที่ดิน</t>
  </si>
  <si>
    <t>จ.เงินอุดหนุนเฉพาะกิจ</t>
  </si>
  <si>
    <t>ฝ.99</t>
  </si>
  <si>
    <t>ฉ.เงินอุดหนุนทั่วไประบุวัตถุประสงค์</t>
  </si>
  <si>
    <t>คอนกรีต</t>
  </si>
  <si>
    <t>ประปาหมู่บ้าน</t>
  </si>
  <si>
    <t>สังหาริมทรัพย์</t>
  </si>
  <si>
    <t>ครุภัณฑ์สำนักงาน</t>
  </si>
  <si>
    <t>ครุภัณฑ์โยธา</t>
  </si>
  <si>
    <t>ครุภัณฑ์พาหนะและขนส่ง</t>
  </si>
  <si>
    <t>ครุภัณฑ์การศึกษา</t>
  </si>
  <si>
    <t>ครุภัณฑ์คอมพิวเตอร์</t>
  </si>
  <si>
    <t>ครุภัณฑ์โฆษณาและเผยแพร่</t>
  </si>
  <si>
    <t>องค์การบริหารส่วนตำบลบางคา  อำเภอราชสาส์น  จังหวัดฉะเชิงเทรา</t>
  </si>
  <si>
    <t>งบทรัพย์สิน</t>
  </si>
  <si>
    <t>หมายเหตุ</t>
  </si>
  <si>
    <t>องค์การบริหารส่วนตำบลบางคา อำเภอราชสาส์น จังหวัดฉะเชิงเทรา</t>
  </si>
  <si>
    <t>รายรับจริง</t>
  </si>
  <si>
    <t>+</t>
  </si>
  <si>
    <t>สูง</t>
  </si>
  <si>
    <t xml:space="preserve"> -</t>
  </si>
  <si>
    <t>ต่ำ</t>
  </si>
  <si>
    <t>รายรับตามประมาณการ</t>
  </si>
  <si>
    <t>-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</si>
  <si>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</si>
  <si>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</si>
  <si>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</si>
  <si>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</si>
  <si>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</si>
  <si>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</si>
  <si>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</si>
  <si>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รายจ่ายที่จ่ายจากเงินอุดหนุนที่รัฐบาลให้โดยระบุวัตถุประสงค์</t>
  </si>
  <si>
    <t>รวมรายจ่ายทั้งสิ้น</t>
  </si>
  <si>
    <t>รายรับสูงกว่ารายจ่าย</t>
  </si>
  <si>
    <t>ทรัพย์สิน</t>
  </si>
  <si>
    <t>หนี้สินและเงินสะสม</t>
  </si>
  <si>
    <t>รายละเอียดลูกหนี้คงค้าง</t>
  </si>
  <si>
    <t>ลำดับที่</t>
  </si>
  <si>
    <t>รายชื่อ</t>
  </si>
  <si>
    <t>ค่าภาษีโรงเรือนและที่ดิน</t>
  </si>
  <si>
    <t>ค่าภาษีป้าย</t>
  </si>
  <si>
    <t>ค่าภาษีบำรุงท้องที่</t>
  </si>
  <si>
    <t>รวมทั้งสิ้น</t>
  </si>
  <si>
    <t>เงินฝากธ.กรุงไทย(ประจำ)เลขที่ 203-2-14063-2</t>
  </si>
  <si>
    <t>7550</t>
  </si>
  <si>
    <t>ค่าไฟฟ้า สถานีสูบน้ำ บ้านเตาอิฐ หมู่ที่ 4</t>
  </si>
  <si>
    <t>ภาษีหน้าฎีกา</t>
  </si>
  <si>
    <t>เงินฝาก ธกส.(ประจำ) เลขที่ 125-4-14655-0</t>
  </si>
  <si>
    <t>อาคาร</t>
  </si>
  <si>
    <t>ป้าย</t>
  </si>
  <si>
    <t>เสาธง</t>
  </si>
  <si>
    <t xml:space="preserve">  (นางชนก  ยิ่งเจริญ)</t>
  </si>
  <si>
    <t>คงเหลือ</t>
  </si>
  <si>
    <t>เงินเบิกหักผลักส่ง</t>
  </si>
  <si>
    <t>หนี้เงินกู้ยืม ธ.กรุงไทย</t>
  </si>
  <si>
    <t>โรงเรือนปุ๋ยชีวภาพ</t>
  </si>
  <si>
    <t>ครุภัณฑ์ไฟฟ้าและวิทยุ</t>
  </si>
  <si>
    <t>ช.เงินอุดหนุนเฉพาะกิจ(ไทยเข้มแข็ง)</t>
  </si>
  <si>
    <t>เงินโครงการส่งเสริมอาสาสมัครดูแลผู้สูงอายุ</t>
  </si>
  <si>
    <t>แท่นศาลพระภูมิ-เจ้าที่พร้อมศาลและโต๊ะไหว้</t>
  </si>
  <si>
    <t>ครุภัณฑ์งานบ้านงานครัว</t>
  </si>
  <si>
    <t>ครุภัณฑ์สำรวจ</t>
  </si>
  <si>
    <t>ครุภัณฑ์อื่น(สัญญาณไฟกระพริบ)</t>
  </si>
  <si>
    <t>ครุภัณฑ์โรงงาน</t>
  </si>
  <si>
    <t>-2-</t>
  </si>
  <si>
    <t>โรงจอดรถที่ทำการ อบต.</t>
  </si>
  <si>
    <t>ครุภัณฑ์การเกษตร</t>
  </si>
  <si>
    <t xml:space="preserve"> ผู้อำนวยการกองคลัง</t>
  </si>
  <si>
    <t>ค่าวารสาร</t>
  </si>
  <si>
    <t xml:space="preserve">งบทดลอง </t>
  </si>
  <si>
    <t>ณ  วันที่  30  กันยายน  2557</t>
  </si>
  <si>
    <t>110100</t>
  </si>
  <si>
    <t>110203</t>
  </si>
  <si>
    <t>110201</t>
  </si>
  <si>
    <t>110202</t>
  </si>
  <si>
    <t>เงินฝาก ธกส.(ออมทรัพย์) เลขที่ 02-003-2-33027-6</t>
  </si>
  <si>
    <t>เงินฝาก ธกส.(ออมทรัพย์พิเศษ) เลขที่ 02-003-6-32794-4</t>
  </si>
  <si>
    <t>110605</t>
  </si>
  <si>
    <t>110606</t>
  </si>
  <si>
    <t>ลูกหนี้เงินขาดบัญชี</t>
  </si>
  <si>
    <t>110607</t>
  </si>
  <si>
    <t>110300</t>
  </si>
  <si>
    <t>710000</t>
  </si>
  <si>
    <t>เงินเดือน(ฝ่ายการเมือง)</t>
  </si>
  <si>
    <t>521000</t>
  </si>
  <si>
    <t>621000</t>
  </si>
  <si>
    <t>เงินเดือน(ฝ่ายประจำ)</t>
  </si>
  <si>
    <t>522000</t>
  </si>
  <si>
    <t>722000</t>
  </si>
  <si>
    <t>531000</t>
  </si>
  <si>
    <t>631000</t>
  </si>
  <si>
    <t>532000</t>
  </si>
  <si>
    <t>632000</t>
  </si>
  <si>
    <t>732000</t>
  </si>
  <si>
    <t>533000</t>
  </si>
  <si>
    <t>633000</t>
  </si>
  <si>
    <t>733000</t>
  </si>
  <si>
    <t>534000</t>
  </si>
  <si>
    <t>634000</t>
  </si>
  <si>
    <t>734000</t>
  </si>
  <si>
    <t>541000</t>
  </si>
  <si>
    <t>641000</t>
  </si>
  <si>
    <t>642000</t>
  </si>
  <si>
    <t>561000</t>
  </si>
  <si>
    <t>661000</t>
  </si>
  <si>
    <t>771000</t>
  </si>
  <si>
    <t>551000</t>
  </si>
  <si>
    <t>320000</t>
  </si>
  <si>
    <t>400000</t>
  </si>
  <si>
    <t>210402</t>
  </si>
  <si>
    <t>210500</t>
  </si>
  <si>
    <t>300000</t>
  </si>
  <si>
    <t>230100</t>
  </si>
  <si>
    <t>ปีงบประมาณ  2557</t>
  </si>
  <si>
    <t>กันยายน  2557</t>
  </si>
  <si>
    <t>411000</t>
  </si>
  <si>
    <t>ค่าธรรมเนียม ค่าปรับ และใบอนุญาต</t>
  </si>
  <si>
    <t>412000</t>
  </si>
  <si>
    <t>413000</t>
  </si>
  <si>
    <t>414000</t>
  </si>
  <si>
    <t>415000</t>
  </si>
  <si>
    <t>416000</t>
  </si>
  <si>
    <t>421000</t>
  </si>
  <si>
    <t>เงินอุดหนุนทั่วไป</t>
  </si>
  <si>
    <t>431000</t>
  </si>
  <si>
    <t>เงินอุดหนุนระบุวัตถุประสงค์-เบี้ยยังชีพคนชรา</t>
  </si>
  <si>
    <t>441002</t>
  </si>
  <si>
    <t>เงินอุดหนุนระบุวัตถุประสงค์-เบี้ยยังชีพผู้พิการ</t>
  </si>
  <si>
    <t>เงินอุดหนุนระบุวัตถุประสงค์-เงินเดือนครู</t>
  </si>
  <si>
    <t>เงินอุดหนุนระบุวัตถุประสงค์-ค่าตอบแทนครู</t>
  </si>
  <si>
    <t>เงินอุดหนุนระบุวัตถุประสงค์-เงินสมทบกองทุนประกันสังคม</t>
  </si>
  <si>
    <t>เงินอุดหนุนระบุวัตถุประสงค์-ค่าวัสดุสำหรับจัดการเรียนการสอน</t>
  </si>
  <si>
    <t>เงินอุดหนุนระบุวัตถุประสงค์-ค่าไฟฟ้าสถานีสูบน้ำบ้านเตาอิฐ หมู่ 4</t>
  </si>
  <si>
    <t>เงินอุดหนุนระบุวัตถุประสงค์-โครงการป้องกันและแก้ไขปัญหายาเสพติด</t>
  </si>
  <si>
    <t>เงินอุดหนุนระบุวัตถุประสงค์-</t>
  </si>
  <si>
    <t>210200</t>
  </si>
  <si>
    <t>510000</t>
  </si>
  <si>
    <t>542000</t>
  </si>
  <si>
    <t>761000</t>
  </si>
  <si>
    <t>742000</t>
  </si>
  <si>
    <t xml:space="preserve">(ลงชื่อ)..................................................         </t>
  </si>
  <si>
    <t>(ลงชื่อ)...........................................................</t>
  </si>
  <si>
    <t>(ลงชื่อ)...............................................</t>
  </si>
  <si>
    <t xml:space="preserve">              (นางจุฑามาศ  จิตนะวัฒน์)</t>
  </si>
  <si>
    <t xml:space="preserve">      (นางวรลักษณ์  รัตนา)</t>
  </si>
  <si>
    <t xml:space="preserve">                    ปลัด อบต.บางคา</t>
  </si>
  <si>
    <t>นายกองค์การบริหารส่วนตำบลบางคา</t>
  </si>
  <si>
    <t>หมายเหตุ  1  ประกอบงบทดลอง  30  กันยายน  2557</t>
  </si>
  <si>
    <t>เงินสมทบกองทุนประกันสังคม</t>
  </si>
  <si>
    <t>เงินช่วยเหลือค่ารักษาพยาบาล</t>
  </si>
  <si>
    <t xml:space="preserve">(ลงชื่อ).........................................                  (ลงชื่อ)................................................                  (ลงชื่อ)............................................          </t>
  </si>
  <si>
    <t xml:space="preserve">            (นางชนก  ยิ่งเจริญ)                              (นางจุฑามาศ  จิตนะวัฒน์)                               (นางวรลักษณ์  รัตนา)</t>
  </si>
  <si>
    <t xml:space="preserve">           ผู้อำนวยการกองคลัง                        ปลัดองค์การบริหารส่วนตำบลบางคา             นายกองค์การบริหารส่วนตำบลบางคา</t>
  </si>
  <si>
    <t>หมายเหตุ  2  ประกอบรายงานรับ-จ่ายเงินสด   30  กันยายน  2557</t>
  </si>
  <si>
    <t>หนี้เงินกู้ยืม ธ.ออมสิน สาขาพนมสารคาม</t>
  </si>
  <si>
    <t>กระดาษทำการ</t>
  </si>
  <si>
    <t>งบทดลอง</t>
  </si>
  <si>
    <t>ใบผ่านรายการบัญชีทั่วไป</t>
  </si>
  <si>
    <t>งบแสดงฐานะทางการเงิน</t>
  </si>
  <si>
    <t>ณ วันที่ 30  กันยายน  2557</t>
  </si>
  <si>
    <t>(ปรับปรุง)</t>
  </si>
  <si>
    <t>(ปิดบัญชี)</t>
  </si>
  <si>
    <t>ณ วันที่ 30 กันยายน 2557</t>
  </si>
  <si>
    <t>ณ  วันที่   30  กันยายน  2557</t>
  </si>
  <si>
    <t>เมื่อวันที่  30  กันยายน  2557</t>
  </si>
  <si>
    <t>ณ   30  กันยายน  2557</t>
  </si>
  <si>
    <t>รายละเอียดทรัพย์สิน ปีงบประมาณ 2557</t>
  </si>
  <si>
    <t>ณ วันที่  30  กันยายน  2557</t>
  </si>
  <si>
    <t>วันที่ซื้อ</t>
  </si>
  <si>
    <t>ราคาต่อหน่วย</t>
  </si>
  <si>
    <t>จำนวนเงินรวม</t>
  </si>
  <si>
    <t>แหล่งที่มา</t>
  </si>
  <si>
    <t>หรือได้มา</t>
  </si>
  <si>
    <t>(หน่วย)</t>
  </si>
  <si>
    <t>ของทรัพย์สิน</t>
  </si>
  <si>
    <t>ข.สังหาริมทรัพย์</t>
  </si>
  <si>
    <t>เงินรายได้</t>
  </si>
  <si>
    <t>รวมทรัพย์สินที่ซื้อหรือได้มาปีงบประมาณ 2557</t>
  </si>
  <si>
    <t>เครื่องตัดหญ้าแบบข้อแข็ง</t>
  </si>
  <si>
    <r>
      <t xml:space="preserve">ยี่ห้อ </t>
    </r>
    <r>
      <rPr>
        <sz val="14"/>
        <rFont val="TH SarabunPSK"/>
        <family val="2"/>
      </rPr>
      <t>HONDA</t>
    </r>
    <r>
      <rPr>
        <sz val="16"/>
        <rFont val="TH SarabunPSK"/>
        <family val="2"/>
      </rPr>
      <t xml:space="preserve"> แบบข้อแข็ง รุ่น </t>
    </r>
    <r>
      <rPr>
        <sz val="14"/>
        <rFont val="TH SarabunPSK"/>
        <family val="2"/>
      </rPr>
      <t>GX35</t>
    </r>
  </si>
  <si>
    <t>หมายเหตุ 1</t>
  </si>
  <si>
    <t>โต๊ะหมู่บูชา</t>
  </si>
  <si>
    <t>เครื่องบันทึกเสียง</t>
  </si>
  <si>
    <r>
      <t xml:space="preserve">ยี่ห้อ </t>
    </r>
    <r>
      <rPr>
        <sz val="14"/>
        <rFont val="TH SarabunPSK"/>
        <family val="2"/>
      </rPr>
      <t>SONY</t>
    </r>
    <r>
      <rPr>
        <sz val="16"/>
        <rFont val="TH SarabunPSK"/>
        <family val="2"/>
      </rPr>
      <t xml:space="preserve"> รุ่น </t>
    </r>
    <r>
      <rPr>
        <sz val="14"/>
        <rFont val="TH SarabunPSK"/>
        <family val="2"/>
      </rPr>
      <t>ICD-UX543F</t>
    </r>
  </si>
  <si>
    <t>งบรายรับ-รายจ่ายตามงบประมาณ  ประจำปี 2557</t>
  </si>
  <si>
    <t>ตั้งแต่วันที่  1  ตุลาคม  2556  ถึง วันที่  30  กันยายน  2557</t>
  </si>
  <si>
    <t>ค่าธรรมเนียม ค่าปรับ และ ใบอนุญาต</t>
  </si>
  <si>
    <t>รายรับตามงบประมาณ</t>
  </si>
  <si>
    <t>รายจ่ายตามงบประมาณ</t>
  </si>
  <si>
    <t xml:space="preserve">           (ลงชื่อ).........................................                  (ลงชื่อ)................................................                  (ลงชื่อ)............................................          </t>
  </si>
  <si>
    <t xml:space="preserve">                       (นางชนก  ยิ่งเจริญ)                              (นางจุฑามาศ  จิตนะวัฒน์)                                 (นางวรลักษณ์  รัตนา)</t>
  </si>
  <si>
    <t xml:space="preserve">                       ผู้อำนวยการกองคลัง                        ปลัดองค์การบริหารส่วนตำบลบางคา                 นายกองค์การบริหารส่วนตำบลบางคา</t>
  </si>
  <si>
    <t xml:space="preserve">            (นางชนก  ยิ่งเจริญ)                               (นางจุฑามาศ  จิตนะวัฒน์)                                 (นางวรลักษณ์  รัตนา)</t>
  </si>
  <si>
    <t xml:space="preserve">            ผู้อำนวยการกองคลัง                        ปลัดองค์การบริหารส่วนตำบลบางคา                  นายกองค์การบริหารส่วนตำบลบางคา</t>
  </si>
  <si>
    <t xml:space="preserve">            (นางชนก  ยิ่งเจริญ)                              (นางจุฑามาศ  จิตนะวัฒน์)                                  (นางวรลักษณ์  รัตนา)</t>
  </si>
  <si>
    <t xml:space="preserve">           ผู้อำนวยการกองคลัง                         ปลัดองค์การบริหารส่วนตำบลบางคา                  นายกองค์การบริหารส่วนตำบลบางคา</t>
  </si>
  <si>
    <t>ทรัพย์สินตามงบทรัพย์สิน (หมายเหตุ 1)</t>
  </si>
  <si>
    <t>เงินฝากธนาคาร (หมายเหตุ 2)</t>
  </si>
  <si>
    <t>ทุนทรัพย์สิน (หมายเหตุ1)</t>
  </si>
  <si>
    <t>เงินรับฝาก (หมายเหตุ 3)</t>
  </si>
  <si>
    <t>เงินสะสม (หมายเหตุ 4)</t>
  </si>
  <si>
    <t>รายจ่ายค้างจ่าย (หมายเหตุ 5)</t>
  </si>
  <si>
    <t>รายจ่ายรอจ่าย (หมายเหตุ 6)</t>
  </si>
  <si>
    <t>งบเงินสะสม</t>
  </si>
  <si>
    <t>เงินสะสมยกมาเมื่อวันที่ 1 ตุลาคม 2556</t>
  </si>
  <si>
    <r>
      <t>บวก</t>
    </r>
    <r>
      <rPr>
        <sz val="16"/>
        <rFont val="TH SarabunPSK"/>
        <family val="2"/>
      </rPr>
      <t xml:space="preserve"> </t>
    </r>
  </si>
  <si>
    <t>รายรับจริงสูงกว่ารายจ่ายจริงงวดนี้</t>
  </si>
  <si>
    <t>รายจ่ายรอจ่าย ปี 2556</t>
  </si>
  <si>
    <r>
      <t>หัก</t>
    </r>
    <r>
      <rPr>
        <sz val="16"/>
        <rFont val="TH SarabunPSK"/>
        <family val="2"/>
      </rPr>
      <t xml:space="preserve">   </t>
    </r>
  </si>
  <si>
    <t xml:space="preserve">       </t>
  </si>
  <si>
    <t>เงินทุนสำรองเงินสะสม ปี 2557</t>
  </si>
  <si>
    <t>เงินสะสม เมื่อวันที่ 30 กันยายน 2557</t>
  </si>
  <si>
    <t xml:space="preserve">(ลงชื่อ).........................................                (ลงชื่อ)................................................                (ลงชื่อ)............................................          </t>
  </si>
  <si>
    <t xml:space="preserve">          (นางชนก  ยิ่งเจริญ)                             (นางจุฑามาศ  จิตนะวัฒน์)                              (นางวรลักษณ์  รัตนา)</t>
  </si>
  <si>
    <t xml:space="preserve">         ผู้อำนวยการกองคลัง                      ปลัดองค์การบริหารส่วนตำบลบางคา               นายกองค์การบริหารส่วนตำบลบางคา</t>
  </si>
  <si>
    <t>หมายเหตุ  ประกอบงบแสดงฐานะทางการเงิน</t>
  </si>
  <si>
    <t>หมายเหตุ ประกอบงบแสดงฐานะทางการเงิน</t>
  </si>
  <si>
    <t xml:space="preserve"> (หมายเหตุ 4)</t>
  </si>
  <si>
    <t xml:space="preserve">                 องค์การบริหารส่วนตำบลบางคา  อ.ราชสาส์น  จ.ฉะเชิงเทรา</t>
  </si>
  <si>
    <t>รับคืนเงินอุดหนุนค่าอาหารกลางวัน ร.ร.วัดจรเข้ตาย ภาคเรียนที่ 2/2553-1-2556</t>
  </si>
  <si>
    <t>จ้างเหมาปรับปรุงถนนลาดยางแอสฟัสท์ติกคอนกรีต หมู๋ที่ 2,6</t>
  </si>
  <si>
    <t>จ้างเหมาปรับปรุงถนนลาดยางแอสฟัสท์ติกคอนกรีต หมู๋ที่ 3</t>
  </si>
  <si>
    <t>รายได้ค้างรับปีปัจจุบันสูงกว่าปีก่อน</t>
  </si>
  <si>
    <t>ปีงบประมาณ พ.ศ. 2557  ณ วันที่ 30 กันยายน 2557</t>
  </si>
  <si>
    <t>หมวด/ประเภท</t>
  </si>
  <si>
    <t>เบิกจ่ายแล้ว</t>
  </si>
  <si>
    <t>ก่อหนี้ผูกพัน</t>
  </si>
  <si>
    <t>ไม่ก่อหนี้ผูกพัน</t>
  </si>
  <si>
    <t xml:space="preserve">รายจ่ายที่รอจ่าย </t>
  </si>
  <si>
    <t>ประจำปีงบประมาณ 2557</t>
  </si>
  <si>
    <t>เลขที่ฎีกา</t>
  </si>
  <si>
    <t>ที่รอจ่าย</t>
  </si>
  <si>
    <t>สำนักงานปลัด</t>
  </si>
  <si>
    <t>ส่วนการคลัง</t>
  </si>
  <si>
    <t>ส่วนโยธา</t>
  </si>
  <si>
    <t>ส่วนการศึกษาฯ</t>
  </si>
  <si>
    <t>1. ค่าจัดซื้ออาหารเสริม(นม) สำหรับ ศพด.วัดจรเข้ตาย</t>
  </si>
  <si>
    <t>2. ค่าจัดซื้ออาหารเสริม(นม) สำหรับ ร.ร.วัดจรเข้ตาย</t>
  </si>
  <si>
    <t>3. รายจ่ายเพื่อให้ได้มาซึ่งบริการ-ค่าจ้างเหมาทำความสะอาดที่ทำการอบต.</t>
  </si>
  <si>
    <t>4. โครงการปรับปรุงและต่อเติมอาคารที่ทำการอบต.</t>
  </si>
  <si>
    <t>ค่าตอบแทน-ค่าตอบแทนผู่ปฏิบัติราชการอันเป็นประโยชน์แก่ อปท.</t>
  </si>
  <si>
    <t>ป.670/57</t>
  </si>
  <si>
    <t>ค.671/57</t>
  </si>
  <si>
    <t>ช.672/57</t>
  </si>
  <si>
    <t>ศ.673/57</t>
  </si>
  <si>
    <t>ก.674/57</t>
  </si>
  <si>
    <t>ส่วนส่งเสริมการเกษตร</t>
  </si>
  <si>
    <t xml:space="preserve">                             หมายเหตุประกอบงบแสดงฐานะทางการเงิน  (หมายเหตุ 6)</t>
  </si>
  <si>
    <t>งบแสดงผลการดำเนินงานจ่ายจากเงินรายรับ</t>
  </si>
  <si>
    <t>บริหารงานทั่วไป</t>
  </si>
  <si>
    <t>การศึกษา</t>
  </si>
  <si>
    <t>สาธารณสุข</t>
  </si>
  <si>
    <t>การเกษตร</t>
  </si>
  <si>
    <t>การพาณิชย์</t>
  </si>
  <si>
    <t>งบกลาง(เงินอุดหนุนเฉพาะกิจ)</t>
  </si>
  <si>
    <t>ค่าสาธารณูปโภค(เงินอุดหนุนเฉพาะกิจ)</t>
  </si>
  <si>
    <t>เงินอุดหนุน(เงินอุดหนุนเฉพาะกิจ)</t>
  </si>
  <si>
    <t>ค่าวัสดุ(เงินอุดหนุนเฉพาะกิจ)</t>
  </si>
  <si>
    <t>เงินเดือน(ฝ่ายประจำ)(เงินอุดหนุนเฉพาะกิจ)</t>
  </si>
  <si>
    <t>การรักษาความ</t>
  </si>
  <si>
    <t>สงบภายใน</t>
  </si>
  <si>
    <t>สังคม</t>
  </si>
  <si>
    <t>สงเคราะห์</t>
  </si>
  <si>
    <t>เคหะและ</t>
  </si>
  <si>
    <t>ชุมชน</t>
  </si>
  <si>
    <t>สร้างความ</t>
  </si>
  <si>
    <t>เข็มแข็งของชุมชน</t>
  </si>
  <si>
    <t>การศาสนาวัฒนธรรม</t>
  </si>
  <si>
    <t>และนันทนาการ</t>
  </si>
  <si>
    <t>เงินอุดหนุนเฉพาะกิจ</t>
  </si>
  <si>
    <t>รายรับสูงกว่าหรือ(ต่ำกว่า)รายจ่าย</t>
  </si>
  <si>
    <t>หมายเหตุ ประกอบงบแสดงฐานะทางการเงิน(หมายเหตุ 1)</t>
  </si>
  <si>
    <t>ลูกหนี้คงค้าง จำนวน 148 ราย (ตามบัญชีแนบท้าย)</t>
  </si>
  <si>
    <t>หมายเหตุ ประกอบงบแสดงฐานะทางการเงิน  (หมายเหตุ 5)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</si>
</sst>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_ ;\-#,##0.00\ "/>
    <numFmt numFmtId="200" formatCode="0.000"/>
    <numFmt numFmtId="201" formatCode="_-* #,##0.0_-;\-* #,##0.0_-;_-* &quot;-&quot;??_-;_-@_-"/>
    <numFmt numFmtId="202" formatCode="_-* #,##0_-;\-* #,##0_-;_-* &quot;-&quot;??_-;_-@_-"/>
    <numFmt numFmtId="203" formatCode="_-* #,##0.000_-;\-* #,##0.000_-;_-* &quot;-&quot;??_-;_-@_-"/>
    <numFmt numFmtId="204" formatCode="_-* #,##0.0000_-;\-* #,##0.000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 * #,##0.00_ ;_ * \-#,##0.00_ ;_ * &quot;-&quot;??_ ;_ @_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5"/>
      <color indexed="12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b/>
      <u val="single"/>
      <sz val="15"/>
      <name val="TH SarabunPSK"/>
      <family val="2"/>
    </font>
    <font>
      <b/>
      <sz val="19"/>
      <name val="TH SarabunPSK"/>
      <family val="2"/>
    </font>
    <font>
      <b/>
      <u val="single"/>
      <sz val="18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22" borderId="3" applyNumberFormat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55" fillId="24" borderId="4" applyNumberFormat="0" applyAlignment="0" applyProtection="0"/>
    <xf numFmtId="0" fontId="56" fillId="25" borderId="0" applyNumberFormat="0" applyBorder="0" applyAlignment="0" applyProtection="0"/>
    <xf numFmtId="0" fontId="57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4" fontId="4" fillId="0" borderId="0" xfId="35" applyFont="1" applyAlignment="1">
      <alignment/>
    </xf>
    <xf numFmtId="9" fontId="4" fillId="0" borderId="0" xfId="42" applyFont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194" fontId="9" fillId="0" borderId="11" xfId="35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94" fontId="9" fillId="0" borderId="10" xfId="35" applyFont="1" applyBorder="1" applyAlignment="1">
      <alignment/>
    </xf>
    <xf numFmtId="194" fontId="4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4" fontId="9" fillId="0" borderId="13" xfId="35" applyFont="1" applyBorder="1" applyAlignment="1">
      <alignment horizontal="center"/>
    </xf>
    <xf numFmtId="194" fontId="9" fillId="0" borderId="13" xfId="35" applyFont="1" applyBorder="1" applyAlignment="1">
      <alignment/>
    </xf>
    <xf numFmtId="194" fontId="9" fillId="0" borderId="0" xfId="35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194" fontId="9" fillId="0" borderId="14" xfId="35" applyFont="1" applyBorder="1" applyAlignment="1">
      <alignment horizontal="center"/>
    </xf>
    <xf numFmtId="194" fontId="9" fillId="0" borderId="0" xfId="0" applyNumberFormat="1" applyFont="1" applyAlignment="1">
      <alignment/>
    </xf>
    <xf numFmtId="194" fontId="9" fillId="0" borderId="15" xfId="35" applyFont="1" applyBorder="1" applyAlignment="1">
      <alignment/>
    </xf>
    <xf numFmtId="194" fontId="9" fillId="0" borderId="0" xfId="35" applyFont="1" applyBorder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94" fontId="9" fillId="0" borderId="16" xfId="35" applyFont="1" applyBorder="1" applyAlignment="1">
      <alignment/>
    </xf>
    <xf numFmtId="194" fontId="11" fillId="0" borderId="13" xfId="35" applyFont="1" applyBorder="1" applyAlignment="1">
      <alignment horizontal="center"/>
    </xf>
    <xf numFmtId="0" fontId="11" fillId="0" borderId="0" xfId="0" applyFont="1" applyAlignment="1">
      <alignment/>
    </xf>
    <xf numFmtId="194" fontId="11" fillId="0" borderId="0" xfId="35" applyFont="1" applyAlignment="1">
      <alignment/>
    </xf>
    <xf numFmtId="194" fontId="11" fillId="0" borderId="14" xfId="35" applyFont="1" applyBorder="1" applyAlignment="1">
      <alignment horizontal="center"/>
    </xf>
    <xf numFmtId="194" fontId="11" fillId="0" borderId="11" xfId="35" applyFont="1" applyBorder="1" applyAlignment="1">
      <alignment/>
    </xf>
    <xf numFmtId="0" fontId="12" fillId="0" borderId="0" xfId="0" applyFont="1" applyAlignment="1">
      <alignment/>
    </xf>
    <xf numFmtId="49" fontId="11" fillId="0" borderId="17" xfId="0" applyNumberFormat="1" applyFont="1" applyBorder="1" applyAlignment="1">
      <alignment horizontal="center"/>
    </xf>
    <xf numFmtId="194" fontId="11" fillId="0" borderId="10" xfId="35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194" fontId="13" fillId="0" borderId="0" xfId="35" applyFont="1" applyAlignment="1">
      <alignment/>
    </xf>
    <xf numFmtId="194" fontId="11" fillId="0" borderId="0" xfId="0" applyNumberFormat="1" applyFont="1" applyAlignment="1">
      <alignment/>
    </xf>
    <xf numFmtId="194" fontId="11" fillId="0" borderId="15" xfId="35" applyFont="1" applyBorder="1" applyAlignment="1">
      <alignment/>
    </xf>
    <xf numFmtId="194" fontId="11" fillId="0" borderId="0" xfId="35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194" fontId="11" fillId="0" borderId="13" xfId="35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94" fontId="11" fillId="0" borderId="16" xfId="35" applyFont="1" applyBorder="1" applyAlignment="1">
      <alignment/>
    </xf>
    <xf numFmtId="194" fontId="11" fillId="0" borderId="0" xfId="35" applyFont="1" applyAlignment="1">
      <alignment/>
    </xf>
    <xf numFmtId="0" fontId="8" fillId="0" borderId="0" xfId="0" applyFont="1" applyAlignment="1">
      <alignment/>
    </xf>
    <xf numFmtId="194" fontId="9" fillId="0" borderId="19" xfId="35" applyFont="1" applyBorder="1" applyAlignment="1">
      <alignment/>
    </xf>
    <xf numFmtId="194" fontId="9" fillId="0" borderId="20" xfId="35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94" fontId="9" fillId="0" borderId="23" xfId="35" applyFont="1" applyBorder="1" applyAlignment="1">
      <alignment horizontal="center"/>
    </xf>
    <xf numFmtId="194" fontId="9" fillId="0" borderId="0" xfId="35" applyFont="1" applyAlignment="1">
      <alignment horizontal="center"/>
    </xf>
    <xf numFmtId="194" fontId="9" fillId="0" borderId="24" xfId="35" applyFont="1" applyBorder="1" applyAlignment="1">
      <alignment/>
    </xf>
    <xf numFmtId="194" fontId="9" fillId="0" borderId="25" xfId="35" applyFont="1" applyBorder="1" applyAlignment="1">
      <alignment/>
    </xf>
    <xf numFmtId="194" fontId="9" fillId="0" borderId="26" xfId="35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94" fontId="5" fillId="0" borderId="21" xfId="35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94" fontId="5" fillId="0" borderId="23" xfId="35" applyFont="1" applyBorder="1" applyAlignment="1">
      <alignment horizontal="center"/>
    </xf>
    <xf numFmtId="194" fontId="5" fillId="0" borderId="31" xfId="35" applyFont="1" applyBorder="1" applyAlignment="1">
      <alignment horizontal="center"/>
    </xf>
    <xf numFmtId="194" fontId="5" fillId="0" borderId="22" xfId="35" applyFont="1" applyBorder="1" applyAlignment="1">
      <alignment horizontal="center"/>
    </xf>
    <xf numFmtId="194" fontId="4" fillId="0" borderId="23" xfId="35" applyFont="1" applyBorder="1" applyAlignment="1">
      <alignment/>
    </xf>
    <xf numFmtId="194" fontId="15" fillId="0" borderId="0" xfId="35" applyFont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194" fontId="16" fillId="0" borderId="0" xfId="35" applyFont="1" applyBorder="1" applyAlignment="1">
      <alignment/>
    </xf>
    <xf numFmtId="194" fontId="5" fillId="0" borderId="0" xfId="35" applyFont="1" applyAlignment="1">
      <alignment/>
    </xf>
    <xf numFmtId="194" fontId="16" fillId="0" borderId="0" xfId="35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194" fontId="4" fillId="0" borderId="32" xfId="35" applyFont="1" applyBorder="1" applyAlignment="1">
      <alignment/>
    </xf>
    <xf numFmtId="0" fontId="9" fillId="0" borderId="23" xfId="0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194" fontId="4" fillId="0" borderId="0" xfId="35" applyFont="1" applyBorder="1" applyAlignment="1">
      <alignment/>
    </xf>
    <xf numFmtId="194" fontId="17" fillId="0" borderId="26" xfId="35" applyFont="1" applyBorder="1" applyAlignment="1">
      <alignment shrinkToFit="1"/>
    </xf>
    <xf numFmtId="49" fontId="4" fillId="0" borderId="0" xfId="0" applyNumberFormat="1" applyFont="1" applyBorder="1" applyAlignment="1">
      <alignment/>
    </xf>
    <xf numFmtId="194" fontId="5" fillId="0" borderId="0" xfId="35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194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194" fontId="9" fillId="0" borderId="23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194" fontId="5" fillId="0" borderId="26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194" fontId="9" fillId="0" borderId="35" xfId="0" applyNumberFormat="1" applyFont="1" applyBorder="1" applyAlignment="1">
      <alignment/>
    </xf>
    <xf numFmtId="194" fontId="9" fillId="0" borderId="35" xfId="35" applyFont="1" applyBorder="1" applyAlignment="1">
      <alignment/>
    </xf>
    <xf numFmtId="0" fontId="9" fillId="0" borderId="35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/>
    </xf>
    <xf numFmtId="0" fontId="9" fillId="0" borderId="21" xfId="0" applyFont="1" applyBorder="1" applyAlignment="1" quotePrefix="1">
      <alignment horizontal="center"/>
    </xf>
    <xf numFmtId="0" fontId="9" fillId="0" borderId="24" xfId="0" applyFont="1" applyBorder="1" applyAlignment="1">
      <alignment/>
    </xf>
    <xf numFmtId="194" fontId="9" fillId="0" borderId="37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94" fontId="9" fillId="0" borderId="26" xfId="0" applyNumberFormat="1" applyFont="1" applyBorder="1" applyAlignment="1">
      <alignment/>
    </xf>
    <xf numFmtId="194" fontId="9" fillId="0" borderId="24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1" fillId="0" borderId="23" xfId="0" applyFont="1" applyBorder="1" applyAlignment="1">
      <alignment/>
    </xf>
    <xf numFmtId="194" fontId="21" fillId="0" borderId="24" xfId="35" applyFont="1" applyBorder="1" applyAlignment="1">
      <alignment/>
    </xf>
    <xf numFmtId="0" fontId="11" fillId="0" borderId="23" xfId="0" applyFont="1" applyBorder="1" applyAlignment="1">
      <alignment horizontal="center"/>
    </xf>
    <xf numFmtId="194" fontId="11" fillId="0" borderId="23" xfId="35" applyFont="1" applyBorder="1" applyAlignment="1">
      <alignment/>
    </xf>
    <xf numFmtId="0" fontId="9" fillId="0" borderId="23" xfId="0" applyFont="1" applyBorder="1" applyAlignment="1">
      <alignment/>
    </xf>
    <xf numFmtId="194" fontId="19" fillId="0" borderId="23" xfId="35" applyFont="1" applyBorder="1" applyAlignment="1">
      <alignment/>
    </xf>
    <xf numFmtId="194" fontId="9" fillId="0" borderId="23" xfId="35" applyFont="1" applyBorder="1" applyAlignment="1">
      <alignment/>
    </xf>
    <xf numFmtId="0" fontId="9" fillId="0" borderId="30" xfId="0" applyFont="1" applyBorder="1" applyAlignment="1">
      <alignment horizontal="center"/>
    </xf>
    <xf numFmtId="194" fontId="9" fillId="0" borderId="23" xfId="37" applyFont="1" applyFill="1" applyBorder="1" applyAlignment="1">
      <alignment horizontal="left"/>
    </xf>
    <xf numFmtId="15" fontId="9" fillId="0" borderId="23" xfId="50" applyNumberFormat="1" applyFont="1" applyFill="1" applyBorder="1" applyAlignment="1">
      <alignment horizontal="center"/>
      <protection/>
    </xf>
    <xf numFmtId="194" fontId="9" fillId="0" borderId="23" xfId="37" applyFont="1" applyFill="1" applyBorder="1" applyAlignment="1">
      <alignment/>
    </xf>
    <xf numFmtId="194" fontId="9" fillId="0" borderId="23" xfId="37" applyFont="1" applyFill="1" applyBorder="1" applyAlignment="1" quotePrefix="1">
      <alignment horizontal="left"/>
    </xf>
    <xf numFmtId="0" fontId="4" fillId="0" borderId="30" xfId="0" applyFont="1" applyBorder="1" applyAlignment="1">
      <alignment horizontal="center"/>
    </xf>
    <xf numFmtId="15" fontId="4" fillId="0" borderId="23" xfId="50" applyNumberFormat="1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94" fontId="5" fillId="0" borderId="39" xfId="35" applyFont="1" applyBorder="1" applyAlignment="1">
      <alignment horizontal="center"/>
    </xf>
    <xf numFmtId="194" fontId="5" fillId="0" borderId="40" xfId="35" applyFont="1" applyBorder="1" applyAlignment="1">
      <alignment/>
    </xf>
    <xf numFmtId="0" fontId="5" fillId="0" borderId="40" xfId="0" applyFont="1" applyBorder="1" applyAlignment="1">
      <alignment/>
    </xf>
    <xf numFmtId="209" fontId="9" fillId="0" borderId="0" xfId="35" applyNumberFormat="1" applyFont="1" applyBorder="1" applyAlignment="1">
      <alignment/>
    </xf>
    <xf numFmtId="209" fontId="9" fillId="0" borderId="0" xfId="35" applyNumberFormat="1" applyFont="1" applyBorder="1" applyAlignment="1" quotePrefix="1">
      <alignment/>
    </xf>
    <xf numFmtId="0" fontId="11" fillId="0" borderId="0" xfId="0" applyFont="1" applyBorder="1" applyAlignment="1">
      <alignment horizontal="left"/>
    </xf>
    <xf numFmtId="209" fontId="9" fillId="0" borderId="0" xfId="35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94" fontId="5" fillId="0" borderId="0" xfId="35" applyFont="1" applyBorder="1" applyAlignment="1">
      <alignment horizontal="center"/>
    </xf>
    <xf numFmtId="194" fontId="5" fillId="0" borderId="28" xfId="35" applyFont="1" applyBorder="1" applyAlignment="1">
      <alignment horizontal="center"/>
    </xf>
    <xf numFmtId="194" fontId="5" fillId="0" borderId="27" xfId="35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94" fontId="11" fillId="0" borderId="0" xfId="35" applyFont="1" applyAlignment="1">
      <alignment horizontal="center"/>
    </xf>
    <xf numFmtId="194" fontId="11" fillId="0" borderId="0" xfId="35" applyFont="1" applyAlignment="1">
      <alignment horizontal="center" shrinkToFit="1"/>
    </xf>
    <xf numFmtId="194" fontId="9" fillId="0" borderId="0" xfId="35" applyFont="1" applyAlignment="1">
      <alignment horizontal="left"/>
    </xf>
    <xf numFmtId="194" fontId="5" fillId="0" borderId="0" xfId="35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23" xfId="0" applyFont="1" applyBorder="1" applyAlignment="1">
      <alignment horizontal="center" shrinkToFit="1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194" fontId="11" fillId="0" borderId="25" xfId="0" applyNumberFormat="1" applyFont="1" applyBorder="1" applyAlignment="1">
      <alignment/>
    </xf>
    <xf numFmtId="194" fontId="11" fillId="0" borderId="25" xfId="0" applyNumberFormat="1" applyFont="1" applyBorder="1" applyAlignment="1">
      <alignment horizontal="center"/>
    </xf>
    <xf numFmtId="194" fontId="11" fillId="0" borderId="0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1" fillId="0" borderId="30" xfId="0" applyNumberFormat="1" applyFont="1" applyBorder="1" applyAlignment="1">
      <alignment horizontal="center"/>
    </xf>
    <xf numFmtId="194" fontId="17" fillId="0" borderId="0" xfId="0" applyNumberFormat="1" applyFont="1" applyAlignment="1">
      <alignment/>
    </xf>
    <xf numFmtId="194" fontId="11" fillId="0" borderId="23" xfId="0" applyNumberFormat="1" applyFont="1" applyBorder="1" applyAlignment="1">
      <alignment/>
    </xf>
    <xf numFmtId="194" fontId="11" fillId="0" borderId="0" xfId="0" applyNumberFormat="1" applyFont="1" applyAlignment="1">
      <alignment horizontal="center"/>
    </xf>
    <xf numFmtId="194" fontId="17" fillId="0" borderId="23" xfId="0" applyNumberFormat="1" applyFont="1" applyBorder="1" applyAlignment="1">
      <alignment/>
    </xf>
    <xf numFmtId="194" fontId="17" fillId="0" borderId="0" xfId="0" applyNumberFormat="1" applyFont="1" applyAlignment="1">
      <alignment horizontal="center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43" fontId="11" fillId="0" borderId="0" xfId="0" applyNumberFormat="1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" fontId="11" fillId="0" borderId="0" xfId="0" applyNumberFormat="1" applyFont="1" applyAlignment="1">
      <alignment/>
    </xf>
    <xf numFmtId="194" fontId="17" fillId="0" borderId="30" xfId="0" applyNumberFormat="1" applyFont="1" applyBorder="1" applyAlignment="1">
      <alignment horizontal="center"/>
    </xf>
    <xf numFmtId="194" fontId="9" fillId="0" borderId="0" xfId="37" applyFont="1" applyBorder="1" applyAlignment="1">
      <alignment/>
    </xf>
    <xf numFmtId="194" fontId="11" fillId="0" borderId="30" xfId="0" applyNumberFormat="1" applyFont="1" applyBorder="1" applyAlignment="1">
      <alignment/>
    </xf>
    <xf numFmtId="194" fontId="11" fillId="0" borderId="24" xfId="35" applyFont="1" applyBorder="1" applyAlignment="1">
      <alignment/>
    </xf>
    <xf numFmtId="194" fontId="11" fillId="0" borderId="25" xfId="35" applyFont="1" applyBorder="1" applyAlignment="1">
      <alignment/>
    </xf>
    <xf numFmtId="194" fontId="9" fillId="0" borderId="30" xfId="35" applyFont="1" applyBorder="1" applyAlignment="1">
      <alignment/>
    </xf>
    <xf numFmtId="194" fontId="17" fillId="0" borderId="30" xfId="35" applyFont="1" applyBorder="1" applyAlignment="1">
      <alignment/>
    </xf>
    <xf numFmtId="194" fontId="17" fillId="0" borderId="0" xfId="35" applyFont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194" fontId="9" fillId="0" borderId="25" xfId="37" applyFont="1" applyBorder="1" applyAlignment="1">
      <alignment/>
    </xf>
    <xf numFmtId="194" fontId="9" fillId="0" borderId="30" xfId="37" applyFont="1" applyBorder="1" applyAlignment="1">
      <alignment/>
    </xf>
    <xf numFmtId="194" fontId="5" fillId="0" borderId="19" xfId="35" applyFont="1" applyBorder="1" applyAlignment="1">
      <alignment/>
    </xf>
    <xf numFmtId="194" fontId="5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94" fontId="24" fillId="0" borderId="0" xfId="35" applyFont="1" applyAlignment="1">
      <alignment/>
    </xf>
    <xf numFmtId="194" fontId="5" fillId="0" borderId="0" xfId="35" applyFont="1" applyAlignment="1">
      <alignment horizontal="left"/>
    </xf>
    <xf numFmtId="194" fontId="25" fillId="0" borderId="0" xfId="35" applyFont="1" applyAlignment="1">
      <alignment/>
    </xf>
    <xf numFmtId="0" fontId="26" fillId="0" borderId="0" xfId="0" applyFont="1" applyAlignment="1">
      <alignment/>
    </xf>
    <xf numFmtId="194" fontId="26" fillId="0" borderId="0" xfId="35" applyFont="1" applyAlignment="1">
      <alignment/>
    </xf>
    <xf numFmtId="0" fontId="19" fillId="0" borderId="0" xfId="0" applyFont="1" applyAlignment="1">
      <alignment horizontal="center"/>
    </xf>
    <xf numFmtId="194" fontId="9" fillId="0" borderId="21" xfId="35" applyFont="1" applyBorder="1" applyAlignment="1">
      <alignment/>
    </xf>
    <xf numFmtId="0" fontId="24" fillId="0" borderId="0" xfId="0" applyFont="1" applyAlignment="1">
      <alignment/>
    </xf>
    <xf numFmtId="194" fontId="24" fillId="0" borderId="0" xfId="35" applyFont="1" applyBorder="1" applyAlignment="1">
      <alignment horizontal="center"/>
    </xf>
    <xf numFmtId="194" fontId="9" fillId="0" borderId="0" xfId="35" applyFont="1" applyBorder="1" applyAlignment="1">
      <alignment horizontal="center"/>
    </xf>
    <xf numFmtId="194" fontId="5" fillId="0" borderId="43" xfId="0" applyNumberFormat="1" applyFont="1" applyBorder="1" applyAlignment="1">
      <alignment/>
    </xf>
    <xf numFmtId="194" fontId="5" fillId="0" borderId="19" xfId="35" applyFont="1" applyBorder="1" applyAlignment="1">
      <alignment/>
    </xf>
    <xf numFmtId="0" fontId="20" fillId="0" borderId="0" xfId="0" applyFont="1" applyAlignment="1">
      <alignment horizontal="right"/>
    </xf>
    <xf numFmtId="194" fontId="5" fillId="0" borderId="43" xfId="35" applyFont="1" applyBorder="1" applyAlignment="1">
      <alignment/>
    </xf>
    <xf numFmtId="0" fontId="5" fillId="0" borderId="0" xfId="0" applyFont="1" applyAlignment="1">
      <alignment horizontal="right"/>
    </xf>
    <xf numFmtId="0" fontId="11" fillId="0" borderId="30" xfId="0" applyFont="1" applyBorder="1" applyAlignment="1">
      <alignment/>
    </xf>
    <xf numFmtId="0" fontId="17" fillId="0" borderId="26" xfId="0" applyFont="1" applyBorder="1" applyAlignment="1">
      <alignment horizontal="center"/>
    </xf>
    <xf numFmtId="194" fontId="17" fillId="0" borderId="26" xfId="35" applyFont="1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Border="1" applyAlignment="1">
      <alignment/>
    </xf>
    <xf numFmtId="194" fontId="4" fillId="0" borderId="25" xfId="35" applyFont="1" applyBorder="1" applyAlignment="1">
      <alignment/>
    </xf>
    <xf numFmtId="0" fontId="4" fillId="0" borderId="30" xfId="0" applyFont="1" applyBorder="1" applyAlignment="1">
      <alignment/>
    </xf>
    <xf numFmtId="0" fontId="11" fillId="0" borderId="25" xfId="0" applyFont="1" applyBorder="1" applyAlignment="1">
      <alignment shrinkToFit="1"/>
    </xf>
    <xf numFmtId="194" fontId="11" fillId="0" borderId="0" xfId="35" applyFont="1" applyBorder="1" applyAlignment="1">
      <alignment horizontal="left" shrinkToFit="1"/>
    </xf>
    <xf numFmtId="194" fontId="11" fillId="0" borderId="25" xfId="35" applyFont="1" applyBorder="1" applyAlignment="1">
      <alignment shrinkToFit="1"/>
    </xf>
    <xf numFmtId="194" fontId="11" fillId="0" borderId="30" xfId="35" applyFont="1" applyBorder="1" applyAlignment="1">
      <alignment horizontal="center" shrinkToFit="1"/>
    </xf>
    <xf numFmtId="194" fontId="11" fillId="0" borderId="24" xfId="35" applyFont="1" applyBorder="1" applyAlignment="1">
      <alignment horizontal="center"/>
    </xf>
    <xf numFmtId="194" fontId="11" fillId="0" borderId="24" xfId="35" applyFont="1" applyBorder="1" applyAlignment="1">
      <alignment horizontal="center" shrinkToFit="1"/>
    </xf>
    <xf numFmtId="194" fontId="11" fillId="0" borderId="24" xfId="35" applyFont="1" applyBorder="1" applyAlignment="1">
      <alignment shrinkToFit="1"/>
    </xf>
    <xf numFmtId="0" fontId="25" fillId="0" borderId="30" xfId="0" applyFont="1" applyBorder="1" applyAlignment="1">
      <alignment/>
    </xf>
    <xf numFmtId="194" fontId="11" fillId="0" borderId="25" xfId="35" applyFont="1" applyBorder="1" applyAlignment="1">
      <alignment horizontal="center"/>
    </xf>
    <xf numFmtId="194" fontId="11" fillId="0" borderId="25" xfId="35" applyFont="1" applyBorder="1" applyAlignment="1">
      <alignment horizontal="center" shrinkToFit="1"/>
    </xf>
    <xf numFmtId="194" fontId="11" fillId="0" borderId="26" xfId="35" applyFont="1" applyBorder="1" applyAlignment="1">
      <alignment horizontal="center" shrinkToFit="1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/>
    </xf>
    <xf numFmtId="194" fontId="11" fillId="0" borderId="30" xfId="35" applyFont="1" applyBorder="1" applyAlignment="1">
      <alignment/>
    </xf>
    <xf numFmtId="0" fontId="17" fillId="0" borderId="23" xfId="0" applyFont="1" applyBorder="1" applyAlignment="1">
      <alignment/>
    </xf>
    <xf numFmtId="194" fontId="11" fillId="0" borderId="44" xfId="35" applyFont="1" applyBorder="1" applyAlignment="1">
      <alignment horizontal="center"/>
    </xf>
    <xf numFmtId="194" fontId="11" fillId="0" borderId="44" xfId="35" applyFont="1" applyBorder="1" applyAlignment="1">
      <alignment horizontal="center" shrinkToFit="1"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shrinkToFit="1"/>
    </xf>
    <xf numFmtId="0" fontId="9" fillId="0" borderId="3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9" fillId="0" borderId="45" xfId="0" applyFont="1" applyBorder="1" applyAlignment="1">
      <alignment/>
    </xf>
    <xf numFmtId="194" fontId="11" fillId="0" borderId="45" xfId="35" applyFont="1" applyBorder="1" applyAlignment="1">
      <alignment horizontal="center"/>
    </xf>
    <xf numFmtId="194" fontId="11" fillId="0" borderId="45" xfId="35" applyFont="1" applyBorder="1" applyAlignment="1">
      <alignment horizontal="center" shrinkToFit="1"/>
    </xf>
    <xf numFmtId="0" fontId="21" fillId="0" borderId="24" xfId="0" applyFont="1" applyBorder="1" applyAlignment="1">
      <alignment horizontal="center"/>
    </xf>
    <xf numFmtId="194" fontId="9" fillId="0" borderId="44" xfId="37" applyFont="1" applyBorder="1" applyAlignment="1">
      <alignment/>
    </xf>
    <xf numFmtId="194" fontId="9" fillId="0" borderId="44" xfId="37" applyFont="1" applyBorder="1" applyAlignment="1">
      <alignment shrinkToFit="1"/>
    </xf>
    <xf numFmtId="194" fontId="11" fillId="0" borderId="46" xfId="35" applyFont="1" applyBorder="1" applyAlignment="1">
      <alignment horizontal="center"/>
    </xf>
    <xf numFmtId="194" fontId="9" fillId="0" borderId="44" xfId="35" applyFont="1" applyBorder="1" applyAlignment="1">
      <alignment/>
    </xf>
    <xf numFmtId="194" fontId="9" fillId="0" borderId="47" xfId="37" applyFont="1" applyBorder="1" applyAlignment="1">
      <alignment/>
    </xf>
    <xf numFmtId="194" fontId="11" fillId="0" borderId="48" xfId="35" applyFont="1" applyBorder="1" applyAlignment="1">
      <alignment horizontal="center"/>
    </xf>
    <xf numFmtId="194" fontId="11" fillId="0" borderId="47" xfId="35" applyFont="1" applyBorder="1" applyAlignment="1">
      <alignment horizontal="center"/>
    </xf>
    <xf numFmtId="194" fontId="11" fillId="0" borderId="47" xfId="35" applyFont="1" applyBorder="1" applyAlignment="1">
      <alignment horizontal="center" shrinkToFit="1"/>
    </xf>
    <xf numFmtId="194" fontId="9" fillId="0" borderId="45" xfId="37" applyFont="1" applyBorder="1" applyAlignment="1">
      <alignment/>
    </xf>
    <xf numFmtId="0" fontId="21" fillId="0" borderId="0" xfId="0" applyFont="1" applyBorder="1" applyAlignment="1">
      <alignment horizontal="center"/>
    </xf>
    <xf numFmtId="194" fontId="17" fillId="0" borderId="26" xfId="35" applyFont="1" applyBorder="1" applyAlignment="1">
      <alignment horizontal="center" shrinkToFit="1"/>
    </xf>
    <xf numFmtId="194" fontId="17" fillId="0" borderId="49" xfId="35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31" xfId="0" applyFont="1" applyBorder="1" applyAlignment="1">
      <alignment/>
    </xf>
    <xf numFmtId="194" fontId="9" fillId="0" borderId="32" xfId="35" applyFont="1" applyBorder="1" applyAlignment="1">
      <alignment/>
    </xf>
    <xf numFmtId="194" fontId="5" fillId="0" borderId="23" xfId="35" applyFont="1" applyBorder="1" applyAlignment="1">
      <alignment/>
    </xf>
    <xf numFmtId="194" fontId="9" fillId="0" borderId="36" xfId="0" applyNumberFormat="1" applyFont="1" applyBorder="1" applyAlignment="1">
      <alignment/>
    </xf>
    <xf numFmtId="194" fontId="7" fillId="0" borderId="11" xfId="35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94" fontId="11" fillId="0" borderId="0" xfId="35" applyFont="1" applyAlignment="1">
      <alignment horizontal="center"/>
    </xf>
    <xf numFmtId="194" fontId="11" fillId="0" borderId="0" xfId="35" applyFont="1" applyAlignment="1">
      <alignment horizontal="center" shrinkToFit="1"/>
    </xf>
    <xf numFmtId="194" fontId="11" fillId="0" borderId="0" xfId="35" applyFont="1" applyAlignment="1">
      <alignment/>
    </xf>
    <xf numFmtId="194" fontId="9" fillId="0" borderId="51" xfId="35" applyFont="1" applyBorder="1" applyAlignment="1">
      <alignment horizontal="center"/>
    </xf>
    <xf numFmtId="194" fontId="9" fillId="0" borderId="52" xfId="35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94" fontId="11" fillId="0" borderId="51" xfId="35" applyFont="1" applyBorder="1" applyAlignment="1">
      <alignment horizontal="center"/>
    </xf>
    <xf numFmtId="194" fontId="11" fillId="0" borderId="52" xfId="35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94" fontId="9" fillId="0" borderId="0" xfId="35" applyFont="1" applyAlignment="1">
      <alignment horizontal="left"/>
    </xf>
    <xf numFmtId="0" fontId="9" fillId="0" borderId="0" xfId="0" applyFont="1" applyAlignment="1">
      <alignment horizontal="left"/>
    </xf>
    <xf numFmtId="17" fontId="10" fillId="0" borderId="50" xfId="0" applyNumberFormat="1" applyFont="1" applyBorder="1" applyAlignment="1" quotePrefix="1">
      <alignment horizontal="left"/>
    </xf>
    <xf numFmtId="49" fontId="10" fillId="0" borderId="5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4" fillId="0" borderId="0" xfId="35" applyFont="1" applyAlignment="1">
      <alignment horizontal="center"/>
    </xf>
    <xf numFmtId="194" fontId="5" fillId="0" borderId="0" xfId="35" applyFont="1" applyAlignment="1">
      <alignment horizontal="center"/>
    </xf>
    <xf numFmtId="194" fontId="5" fillId="0" borderId="28" xfId="35" applyFont="1" applyBorder="1" applyAlignment="1">
      <alignment horizontal="center"/>
    </xf>
    <xf numFmtId="194" fontId="5" fillId="0" borderId="21" xfId="35" applyFont="1" applyBorder="1" applyAlignment="1">
      <alignment horizontal="center"/>
    </xf>
    <xf numFmtId="194" fontId="5" fillId="0" borderId="42" xfId="35" applyFont="1" applyBorder="1" applyAlignment="1">
      <alignment horizontal="center"/>
    </xf>
    <xf numFmtId="194" fontId="5" fillId="0" borderId="27" xfId="35" applyFont="1" applyBorder="1" applyAlignment="1">
      <alignment horizontal="center"/>
    </xf>
    <xf numFmtId="194" fontId="5" fillId="0" borderId="20" xfId="35" applyFont="1" applyBorder="1" applyAlignment="1">
      <alignment horizontal="center"/>
    </xf>
    <xf numFmtId="194" fontId="5" fillId="0" borderId="41" xfId="35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94" fontId="7" fillId="0" borderId="32" xfId="35" applyFont="1" applyBorder="1" applyAlignment="1">
      <alignment horizontal="center" vertical="center"/>
    </xf>
    <xf numFmtId="194" fontId="7" fillId="0" borderId="23" xfId="35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94" fontId="11" fillId="0" borderId="23" xfId="35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94" fontId="11" fillId="0" borderId="24" xfId="35" applyFont="1" applyBorder="1" applyAlignment="1">
      <alignment horizontal="center" vertical="center"/>
    </xf>
    <xf numFmtId="194" fontId="11" fillId="0" borderId="30" xfId="35" applyFont="1" applyBorder="1" applyAlignment="1">
      <alignment horizontal="center" vertical="center"/>
    </xf>
    <xf numFmtId="194" fontId="9" fillId="0" borderId="0" xfId="35" applyFont="1" applyAlignment="1">
      <alignment horizontal="left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194" fontId="9" fillId="0" borderId="0" xfId="37" applyFont="1" applyBorder="1" applyAlignment="1" quotePrefix="1">
      <alignment horizontal="center"/>
    </xf>
    <xf numFmtId="194" fontId="9" fillId="0" borderId="0" xfId="37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 2" xfId="37"/>
    <cellStyle name="Currency" xfId="38"/>
    <cellStyle name="Currency [0]" xfId="39"/>
    <cellStyle name="เซลล์ตรวจสอบ" xfId="40"/>
    <cellStyle name="เซลล์ที่มีลิงก์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 2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la.go.th/&#3591;&#3634;&#3609;&#3585;&#3634;&#3619;&#3648;&#3591;&#3636;&#3609;&#3649;&#3621;&#3632;&#3610;&#3633;&#3597;&#3594;&#3637;%202557\&#3591;&#3634;&#3609;&#3610;&#3633;&#3597;&#3594;&#3637;\&#3591;&#3610;&#3648;&#3604;&#3639;&#3629;&#3609;%202557\&#3629;&#3610;&#3605;\&#3585;&#3633;&#3609;&#3618;&#3634;&#3618;&#3609;.57(&#3650;&#3629;&#3609;&#3591;&#361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la.go.th/&#3591;&#3634;&#3609;&#3585;&#3634;&#3619;&#3648;&#3591;&#3636;&#3609;&#3649;&#3621;&#3632;&#3610;&#3633;&#3597;&#3594;&#3637;%202557\&#3591;&#3634;&#3609;&#3610;&#3633;&#3597;&#3594;&#3637;\&#3591;&#3610;&#3648;&#3604;&#3639;&#3629;&#3609;%202557\&#3629;&#3610;&#3605;\&#3585;&#3619;&#3585;&#3598;&#3634;&#3588;&#3617;%2053%20&#3629;&#3610;&#360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la.go.th/&#3591;&#3634;&#3609;&#3585;&#3634;&#3619;&#3648;&#3591;&#3636;&#3609;&#3649;&#3621;&#3632;&#3610;&#3633;&#3597;&#3594;&#3637;%202557\&#3591;&#3634;&#3609;&#3610;&#3633;&#3597;&#3594;&#3637;\&#3591;&#3610;&#3611;&#3637;\&#3591;&#3610;&#3611;&#3637;%202557(&#3648;&#3617;&#3639;&#3629;&#3591;&#3651;&#3627;&#3617;&#36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รับ"/>
      <sheetName val="เงินสดจ่าย"/>
      <sheetName val="ทะเบียนรายรับ"/>
      <sheetName val="ใบผ่านทั่วไป"/>
      <sheetName val="รับจ่ายเงินสด"/>
      <sheetName val="งบทดลอง"/>
      <sheetName val="หมายเหตุ 1"/>
      <sheetName val="หมายเหตุ 2"/>
      <sheetName val="คิดค่าใช้จ่าย"/>
    </sheetNames>
    <sheetDataSet>
      <sheetData sheetId="1">
        <row r="5">
          <cell r="D5">
            <v>10583</v>
          </cell>
        </row>
        <row r="7">
          <cell r="D7">
            <v>49950</v>
          </cell>
        </row>
        <row r="8">
          <cell r="D8">
            <v>100000</v>
          </cell>
        </row>
        <row r="9">
          <cell r="D9">
            <v>564601</v>
          </cell>
        </row>
        <row r="11">
          <cell r="D11">
            <v>5250</v>
          </cell>
        </row>
        <row r="12">
          <cell r="D12">
            <v>70140</v>
          </cell>
        </row>
        <row r="13">
          <cell r="D13">
            <v>46105</v>
          </cell>
        </row>
        <row r="15">
          <cell r="D15">
            <v>95880</v>
          </cell>
        </row>
        <row r="16">
          <cell r="D16">
            <v>63515.76</v>
          </cell>
        </row>
        <row r="17">
          <cell r="D17">
            <v>0</v>
          </cell>
        </row>
        <row r="18">
          <cell r="D18">
            <v>62338.94</v>
          </cell>
        </row>
        <row r="19">
          <cell r="D19">
            <v>0</v>
          </cell>
        </row>
        <row r="21">
          <cell r="D21">
            <v>17548</v>
          </cell>
        </row>
        <row r="22">
          <cell r="D22">
            <v>0</v>
          </cell>
        </row>
        <row r="24">
          <cell r="D24">
            <v>1193400</v>
          </cell>
        </row>
        <row r="25">
          <cell r="D25">
            <v>0</v>
          </cell>
        </row>
        <row r="27">
          <cell r="D27">
            <v>737834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41">
          <cell r="D41">
            <v>32550</v>
          </cell>
        </row>
        <row r="42">
          <cell r="D42">
            <v>79250</v>
          </cell>
        </row>
      </sheetData>
      <sheetData sheetId="2">
        <row r="6">
          <cell r="F6">
            <v>0</v>
          </cell>
        </row>
        <row r="7">
          <cell r="F7">
            <v>471.61</v>
          </cell>
        </row>
        <row r="8">
          <cell r="F8">
            <v>0</v>
          </cell>
        </row>
        <row r="9">
          <cell r="F9">
            <v>19.4</v>
          </cell>
        </row>
        <row r="10">
          <cell r="F10">
            <v>0</v>
          </cell>
        </row>
        <row r="11">
          <cell r="F11">
            <v>43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168</v>
          </cell>
        </row>
        <row r="16">
          <cell r="F16">
            <v>20</v>
          </cell>
        </row>
        <row r="17">
          <cell r="F17">
            <v>1843.65</v>
          </cell>
        </row>
        <row r="18">
          <cell r="F18">
            <v>0</v>
          </cell>
        </row>
        <row r="19">
          <cell r="F19">
            <v>20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648343.05</v>
          </cell>
        </row>
        <row r="23">
          <cell r="F23">
            <v>124151.88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4863.98</v>
          </cell>
        </row>
        <row r="28">
          <cell r="F28">
            <v>0</v>
          </cell>
        </row>
        <row r="29">
          <cell r="F29">
            <v>124423</v>
          </cell>
        </row>
        <row r="30">
          <cell r="F30">
            <v>96701</v>
          </cell>
        </row>
        <row r="33">
          <cell r="F33">
            <v>45000</v>
          </cell>
        </row>
        <row r="34">
          <cell r="F34">
            <v>27000</v>
          </cell>
        </row>
        <row r="35">
          <cell r="F35">
            <v>1350</v>
          </cell>
        </row>
      </sheetData>
      <sheetData sheetId="4">
        <row r="38">
          <cell r="G38">
            <v>19872134.35</v>
          </cell>
        </row>
        <row r="64">
          <cell r="B64">
            <v>378335</v>
          </cell>
        </row>
        <row r="65">
          <cell r="B65">
            <v>1169917</v>
          </cell>
        </row>
        <row r="66">
          <cell r="B66">
            <v>510460</v>
          </cell>
        </row>
        <row r="67">
          <cell r="B67">
            <v>3721345</v>
          </cell>
        </row>
        <row r="68">
          <cell r="B68">
            <v>140802.5</v>
          </cell>
        </row>
        <row r="69">
          <cell r="B69">
            <v>0</v>
          </cell>
        </row>
        <row r="70">
          <cell r="B70">
            <v>710107.35</v>
          </cell>
        </row>
        <row r="71">
          <cell r="B71">
            <v>390015</v>
          </cell>
        </row>
        <row r="72">
          <cell r="B72">
            <v>756974.62</v>
          </cell>
        </row>
        <row r="73">
          <cell r="B73">
            <v>263213.63999999996</v>
          </cell>
        </row>
        <row r="74">
          <cell r="B74">
            <v>287301.2</v>
          </cell>
        </row>
        <row r="75">
          <cell r="B75">
            <v>91417.36</v>
          </cell>
        </row>
        <row r="76">
          <cell r="B76">
            <v>90775.35</v>
          </cell>
        </row>
        <row r="77">
          <cell r="B77">
            <v>13290</v>
          </cell>
        </row>
        <row r="79">
          <cell r="B79">
            <v>2003400</v>
          </cell>
        </row>
        <row r="80">
          <cell r="B80">
            <v>23000</v>
          </cell>
        </row>
        <row r="81">
          <cell r="B81">
            <v>498000</v>
          </cell>
        </row>
        <row r="82">
          <cell r="B82">
            <v>737834</v>
          </cell>
        </row>
        <row r="84">
          <cell r="B84">
            <v>2914330</v>
          </cell>
        </row>
        <row r="85">
          <cell r="B85">
            <v>288000</v>
          </cell>
        </row>
        <row r="86">
          <cell r="B86">
            <v>0</v>
          </cell>
        </row>
        <row r="87">
          <cell r="B87">
            <v>67995</v>
          </cell>
        </row>
        <row r="88">
          <cell r="B88">
            <v>304682.33</v>
          </cell>
        </row>
        <row r="89">
          <cell r="B89">
            <v>30000</v>
          </cell>
        </row>
        <row r="102">
          <cell r="B102">
            <v>23418571.880000003</v>
          </cell>
        </row>
      </sheetData>
      <sheetData sheetId="5">
        <row r="11">
          <cell r="F11">
            <v>23418571.879999995</v>
          </cell>
        </row>
      </sheetData>
      <sheetData sheetId="6">
        <row r="15">
          <cell r="B15">
            <v>619238.77</v>
          </cell>
        </row>
      </sheetData>
      <sheetData sheetId="7">
        <row r="4">
          <cell r="F4">
            <v>14829.660000000002</v>
          </cell>
        </row>
        <row r="5">
          <cell r="F5">
            <v>285380</v>
          </cell>
        </row>
        <row r="6">
          <cell r="F6">
            <v>0</v>
          </cell>
        </row>
        <row r="7">
          <cell r="F7">
            <v>9011.64</v>
          </cell>
        </row>
        <row r="8">
          <cell r="F8">
            <v>13491.69</v>
          </cell>
        </row>
        <row r="9">
          <cell r="F9">
            <v>286980.58</v>
          </cell>
        </row>
        <row r="10">
          <cell r="F10">
            <v>8807.199999999997</v>
          </cell>
        </row>
        <row r="11">
          <cell r="F11">
            <v>638</v>
          </cell>
        </row>
        <row r="12">
          <cell r="F12">
            <v>100</v>
          </cell>
        </row>
        <row r="15">
          <cell r="F15">
            <v>0</v>
          </cell>
        </row>
        <row r="18">
          <cell r="F18">
            <v>0</v>
          </cell>
        </row>
        <row r="19">
          <cell r="B19">
            <v>184825.33</v>
          </cell>
          <cell r="C19">
            <v>251138.42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รับ"/>
      <sheetName val="เงินสดจ่าย"/>
      <sheetName val="ทะเบียนรายรับ"/>
      <sheetName val="ใบผ่านทั่วไป"/>
      <sheetName val="รับจ่ายเงินสด"/>
      <sheetName val="งบทดลอง"/>
      <sheetName val="หมายเหตุ 1"/>
      <sheetName val="หมายเหตุ 2"/>
      <sheetName val="งบกระทบยอด"/>
      <sheetName val="กระดาษทำการ"/>
    </sheetNames>
    <sheetDataSet>
      <sheetData sheetId="4">
        <row r="39">
          <cell r="B39">
            <v>5502499.06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2"/>
      <sheetName val="รายงานรับจ่ายเงินสด"/>
      <sheetName val="หมายเหตุประกอบ"/>
      <sheetName val="รายงานรับจ่าย"/>
      <sheetName val="กระดาษทำการ"/>
      <sheetName val="งบแสดงฐานะทางการเงิน(ใหม่)"/>
      <sheetName val="งบทรัพย์สิน"/>
      <sheetName val="รายละเอียดทรพย์สิน57"/>
      <sheetName val="เงินสะสม"/>
      <sheetName val="รายจ่ายค้างจ่าย"/>
      <sheetName val="รอจ่ายประกอบ"/>
      <sheetName val="งบทดลองหลังปิด"/>
      <sheetName val="ลูกหนี้"/>
      <sheetName val="เงินสำรองเงินสะสม"/>
      <sheetName val="Sheet1"/>
    </sheetNames>
    <sheetDataSet>
      <sheetData sheetId="0">
        <row r="16">
          <cell r="C16">
            <v>0</v>
          </cell>
        </row>
        <row r="17">
          <cell r="C17">
            <v>0</v>
          </cell>
        </row>
      </sheetData>
      <sheetData sheetId="4">
        <row r="14">
          <cell r="I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4">
      <selection activeCell="E13" sqref="E13"/>
    </sheetView>
  </sheetViews>
  <sheetFormatPr defaultColWidth="9.140625" defaultRowHeight="22.5" customHeight="1"/>
  <cols>
    <col min="1" max="1" width="48.28125" style="1" customWidth="1"/>
    <col min="2" max="2" width="12.8515625" style="2" customWidth="1"/>
    <col min="3" max="4" width="22.28125" style="3" customWidth="1"/>
    <col min="5" max="5" width="14.00390625" style="1" customWidth="1"/>
    <col min="6" max="6" width="13.7109375" style="1" customWidth="1"/>
    <col min="7" max="7" width="11.28125" style="1" bestFit="1" customWidth="1"/>
    <col min="8" max="8" width="9.28125" style="1" bestFit="1" customWidth="1"/>
    <col min="9" max="16384" width="9.140625" style="1" customWidth="1"/>
  </cols>
  <sheetData>
    <row r="1" spans="1:4" ht="22.5" customHeight="1">
      <c r="A1" s="272" t="s">
        <v>1</v>
      </c>
      <c r="B1" s="272"/>
      <c r="C1" s="272"/>
      <c r="D1" s="272"/>
    </row>
    <row r="2" spans="1:4" ht="22.5" customHeight="1">
      <c r="A2" s="272" t="s">
        <v>154</v>
      </c>
      <c r="B2" s="272"/>
      <c r="C2" s="272"/>
      <c r="D2" s="272"/>
    </row>
    <row r="3" spans="1:4" ht="22.5" customHeight="1" thickBot="1">
      <c r="A3" s="273" t="s">
        <v>155</v>
      </c>
      <c r="B3" s="273"/>
      <c r="C3" s="273"/>
      <c r="D3" s="273"/>
    </row>
    <row r="4" spans="1:4" ht="22.5" customHeight="1">
      <c r="A4" s="274" t="s">
        <v>3</v>
      </c>
      <c r="B4" s="276" t="s">
        <v>2</v>
      </c>
      <c r="C4" s="270" t="s">
        <v>4</v>
      </c>
      <c r="D4" s="270" t="s">
        <v>5</v>
      </c>
    </row>
    <row r="5" spans="1:5" ht="9.75" customHeight="1" thickBot="1">
      <c r="A5" s="275"/>
      <c r="B5" s="271"/>
      <c r="C5" s="271"/>
      <c r="D5" s="271"/>
      <c r="E5" s="4"/>
    </row>
    <row r="6" spans="1:6" ht="22.5" customHeight="1" hidden="1">
      <c r="A6" s="5" t="s">
        <v>6</v>
      </c>
      <c r="B6" s="6" t="s">
        <v>156</v>
      </c>
      <c r="C6" s="7">
        <f>67.5-67.5</f>
        <v>0</v>
      </c>
      <c r="D6" s="7"/>
      <c r="F6" s="3"/>
    </row>
    <row r="7" spans="1:4" ht="22.5" customHeight="1">
      <c r="A7" s="5" t="s">
        <v>58</v>
      </c>
      <c r="B7" s="8" t="s">
        <v>157</v>
      </c>
      <c r="C7" s="9">
        <f>300084.37+261756.24-303428.57+1619014.27-1638325.39+5713021.56-5238672.49+719377.1-1095449.99+1750540.6-1062925.7+2263657.57-1024992+1255279.12-2504596.57+352578.04-1310267.22+1815745.22-1100120.35+1099690.46-1831682.04+1380209.37+1101852.31-2522345.91</f>
        <v>0</v>
      </c>
      <c r="D7" s="9"/>
    </row>
    <row r="8" spans="1:6" ht="22.5" customHeight="1">
      <c r="A8" s="5" t="s">
        <v>59</v>
      </c>
      <c r="B8" s="8" t="s">
        <v>158</v>
      </c>
      <c r="C8" s="9">
        <f>8793734.45+1100120.35+105781.4-2378399.24+55864.74+1831682.04-1538209.26+45543.8-893687.26+90442.6+2522345.91-3560733.89</f>
        <v>6174485.639999997</v>
      </c>
      <c r="D8" s="9"/>
      <c r="E8" s="10">
        <f>C8+C9+C12+C13+C14</f>
        <v>9539342.869999997</v>
      </c>
      <c r="F8" s="10"/>
    </row>
    <row r="9" spans="1:5" ht="22.5" customHeight="1">
      <c r="A9" s="5" t="s">
        <v>60</v>
      </c>
      <c r="B9" s="8" t="s">
        <v>158</v>
      </c>
      <c r="C9" s="9">
        <f>13310.57+33.55+65107-65000+82.25</f>
        <v>13533.369999999995</v>
      </c>
      <c r="D9" s="9"/>
      <c r="E9" s="10">
        <f>C10+C11</f>
        <v>13879229.01</v>
      </c>
    </row>
    <row r="10" spans="1:6" ht="22.5" customHeight="1">
      <c r="A10" s="5" t="s">
        <v>128</v>
      </c>
      <c r="B10" s="8" t="s">
        <v>159</v>
      </c>
      <c r="C10" s="9">
        <f>4381446.53+5238672.49+98582.55</f>
        <v>9718701.57</v>
      </c>
      <c r="D10" s="9"/>
      <c r="E10" s="10"/>
      <c r="F10" s="10">
        <f>SUM(C6:C14)</f>
        <v>23418571.879999995</v>
      </c>
    </row>
    <row r="11" spans="1:5" ht="22.5" customHeight="1">
      <c r="A11" s="5" t="s">
        <v>132</v>
      </c>
      <c r="B11" s="8" t="s">
        <v>159</v>
      </c>
      <c r="C11" s="9">
        <f>4089896.34+19380.51+19472.34+17306.81+14471.44</f>
        <v>4160527.4399999995</v>
      </c>
      <c r="D11" s="9"/>
      <c r="E11" s="10">
        <f>F10-F15</f>
        <v>0</v>
      </c>
    </row>
    <row r="12" spans="1:6" ht="22.5" customHeight="1">
      <c r="A12" s="5" t="s">
        <v>61</v>
      </c>
      <c r="B12" s="8" t="s">
        <v>158</v>
      </c>
      <c r="C12" s="9">
        <f>236626.57+20786.49+769.24+16027+12091+680.28</f>
        <v>286980.58</v>
      </c>
      <c r="D12" s="9"/>
      <c r="E12" s="10"/>
      <c r="F12" s="10"/>
    </row>
    <row r="13" spans="1:6" ht="22.5" customHeight="1">
      <c r="A13" s="5" t="s">
        <v>160</v>
      </c>
      <c r="B13" s="8" t="s">
        <v>158</v>
      </c>
      <c r="C13" s="9">
        <f>2000000+5400-242400+600-248400+1699.63-242400-242400-242400-241800-239300-246100+1843.65</f>
        <v>64343.27999999989</v>
      </c>
      <c r="D13" s="9"/>
      <c r="E13" s="10"/>
      <c r="F13" s="10"/>
    </row>
    <row r="14" spans="1:6" ht="22.5" customHeight="1">
      <c r="A14" s="5" t="s">
        <v>161</v>
      </c>
      <c r="B14" s="8" t="s">
        <v>158</v>
      </c>
      <c r="C14" s="9">
        <v>3000000</v>
      </c>
      <c r="D14" s="9"/>
      <c r="E14" s="10"/>
      <c r="F14" s="10"/>
    </row>
    <row r="15" spans="1:6" ht="22.5" customHeight="1">
      <c r="A15" s="5" t="s">
        <v>7</v>
      </c>
      <c r="B15" s="8" t="s">
        <v>162</v>
      </c>
      <c r="C15" s="9">
        <f>21500-9000+78800-20500+32550-103350</f>
        <v>0</v>
      </c>
      <c r="D15" s="9"/>
      <c r="F15" s="10">
        <f>'[1]รับจ่ายเงินสด'!B102</f>
        <v>23418571.880000003</v>
      </c>
    </row>
    <row r="16" spans="1:5" ht="22.5" customHeight="1">
      <c r="A16" s="5" t="s">
        <v>68</v>
      </c>
      <c r="B16" s="8" t="s">
        <v>163</v>
      </c>
      <c r="C16" s="9">
        <f>107490-81000+105740-78800+79250-132680</f>
        <v>0</v>
      </c>
      <c r="D16" s="9"/>
      <c r="E16" s="3"/>
    </row>
    <row r="17" spans="1:5" ht="22.5" customHeight="1" hidden="1">
      <c r="A17" s="5" t="s">
        <v>164</v>
      </c>
      <c r="B17" s="8" t="s">
        <v>165</v>
      </c>
      <c r="C17" s="9">
        <f>209.36-209.36</f>
        <v>0</v>
      </c>
      <c r="D17" s="9"/>
      <c r="E17" s="3"/>
    </row>
    <row r="18" spans="1:6" ht="22.5" customHeight="1">
      <c r="A18" s="5" t="s">
        <v>8</v>
      </c>
      <c r="B18" s="8" t="s">
        <v>166</v>
      </c>
      <c r="C18" s="9">
        <v>63167.8</v>
      </c>
      <c r="D18" s="9"/>
      <c r="E18" s="10" t="e">
        <f>C19+#REF!+C21+C24+C25+C27+C30+C31+C33+C34+C39+C40+C42+#REF!</f>
        <v>#REF!</v>
      </c>
      <c r="F18" s="10"/>
    </row>
    <row r="19" spans="1:6" ht="22.5" customHeight="1">
      <c r="A19" s="5" t="s">
        <v>15</v>
      </c>
      <c r="B19" s="8" t="s">
        <v>221</v>
      </c>
      <c r="C19" s="9">
        <f>'[1]รับจ่ายเงินสด'!B64</f>
        <v>378335</v>
      </c>
      <c r="D19" s="9"/>
      <c r="F19" s="10">
        <f>F15-F10</f>
        <v>0</v>
      </c>
    </row>
    <row r="20" spans="1:6" ht="22.5" customHeight="1">
      <c r="A20" s="5" t="s">
        <v>15</v>
      </c>
      <c r="B20" s="8" t="s">
        <v>167</v>
      </c>
      <c r="C20" s="9">
        <f>'[1]รับจ่ายเงินสด'!B84</f>
        <v>2914330</v>
      </c>
      <c r="D20" s="9"/>
      <c r="F20" s="10"/>
    </row>
    <row r="21" spans="1:4" ht="22.5" customHeight="1">
      <c r="A21" s="5" t="s">
        <v>168</v>
      </c>
      <c r="B21" s="8" t="s">
        <v>169</v>
      </c>
      <c r="C21" s="9">
        <f>'[1]รับจ่ายเงินสด'!B65</f>
        <v>1169917</v>
      </c>
      <c r="D21" s="9"/>
    </row>
    <row r="22" spans="1:4" ht="22.5" customHeight="1">
      <c r="A22" s="5" t="s">
        <v>168</v>
      </c>
      <c r="B22" s="8" t="s">
        <v>170</v>
      </c>
      <c r="C22" s="9">
        <f>'[1]รับจ่ายเงินสด'!B66</f>
        <v>510460</v>
      </c>
      <c r="D22" s="9"/>
    </row>
    <row r="23" spans="1:4" ht="22.5" customHeight="1">
      <c r="A23" s="5" t="s">
        <v>171</v>
      </c>
      <c r="B23" s="8" t="s">
        <v>172</v>
      </c>
      <c r="C23" s="9">
        <f>'[1]รับจ่ายเงินสด'!B67</f>
        <v>3721345</v>
      </c>
      <c r="D23" s="9"/>
    </row>
    <row r="24" spans="1:6" ht="22.5" customHeight="1">
      <c r="A24" s="5" t="s">
        <v>171</v>
      </c>
      <c r="B24" s="8" t="s">
        <v>173</v>
      </c>
      <c r="C24" s="9">
        <f>'[1]รับจ่ายเงินสด'!B85</f>
        <v>288000</v>
      </c>
      <c r="D24" s="9"/>
      <c r="F24" s="10"/>
    </row>
    <row r="25" spans="1:6" ht="22.5" customHeight="1">
      <c r="A25" s="5" t="s">
        <v>9</v>
      </c>
      <c r="B25" s="8" t="s">
        <v>174</v>
      </c>
      <c r="C25" s="9">
        <f>'[1]รับจ่ายเงินสด'!B68</f>
        <v>140802.5</v>
      </c>
      <c r="D25" s="9"/>
      <c r="F25" s="10"/>
    </row>
    <row r="26" spans="1:6" ht="22.5" customHeight="1" hidden="1">
      <c r="A26" s="5" t="s">
        <v>9</v>
      </c>
      <c r="B26" s="8" t="s">
        <v>175</v>
      </c>
      <c r="C26" s="9">
        <f>'[1]รับจ่ายเงินสด'!B69</f>
        <v>0</v>
      </c>
      <c r="D26" s="9"/>
      <c r="F26" s="10"/>
    </row>
    <row r="27" spans="1:4" ht="22.5" customHeight="1">
      <c r="A27" s="5" t="s">
        <v>10</v>
      </c>
      <c r="B27" s="8" t="s">
        <v>176</v>
      </c>
      <c r="C27" s="9">
        <f>'[1]รับจ่ายเงินสด'!B70</f>
        <v>710107.35</v>
      </c>
      <c r="D27" s="9"/>
    </row>
    <row r="28" spans="1:4" ht="22.5" customHeight="1">
      <c r="A28" s="5" t="s">
        <v>10</v>
      </c>
      <c r="B28" s="8" t="s">
        <v>177</v>
      </c>
      <c r="C28" s="9">
        <f>'[1]รับจ่ายเงินสด'!B71</f>
        <v>390015</v>
      </c>
      <c r="D28" s="9"/>
    </row>
    <row r="29" spans="1:4" ht="22.5" customHeight="1" hidden="1">
      <c r="A29" s="5" t="s">
        <v>10</v>
      </c>
      <c r="B29" s="8" t="s">
        <v>178</v>
      </c>
      <c r="C29" s="9">
        <f>'[1]รับจ่ายเงินสด'!B86</f>
        <v>0</v>
      </c>
      <c r="D29" s="9"/>
    </row>
    <row r="30" spans="1:6" ht="22.5" customHeight="1">
      <c r="A30" s="5" t="s">
        <v>11</v>
      </c>
      <c r="B30" s="8" t="s">
        <v>179</v>
      </c>
      <c r="C30" s="9">
        <f>'[1]รับจ่ายเงินสด'!B72</f>
        <v>756974.62</v>
      </c>
      <c r="D30" s="9"/>
      <c r="F30" s="10">
        <f>D49</f>
        <v>38872935.03</v>
      </c>
    </row>
    <row r="31" spans="1:4" ht="22.5" customHeight="1">
      <c r="A31" s="5" t="s">
        <v>11</v>
      </c>
      <c r="B31" s="8" t="s">
        <v>180</v>
      </c>
      <c r="C31" s="9">
        <f>'[1]รับจ่ายเงินสด'!B73</f>
        <v>263213.63999999996</v>
      </c>
      <c r="D31" s="9"/>
    </row>
    <row r="32" spans="1:4" ht="22.5" customHeight="1">
      <c r="A32" s="5" t="s">
        <v>11</v>
      </c>
      <c r="B32" s="8" t="s">
        <v>181</v>
      </c>
      <c r="C32" s="9">
        <f>'[1]รับจ่ายเงินสด'!B87</f>
        <v>67995</v>
      </c>
      <c r="D32" s="9"/>
    </row>
    <row r="33" spans="1:4" ht="22.5" customHeight="1">
      <c r="A33" s="5" t="s">
        <v>12</v>
      </c>
      <c r="B33" s="8" t="s">
        <v>182</v>
      </c>
      <c r="C33" s="9">
        <f>'[1]รับจ่ายเงินสด'!B74</f>
        <v>287301.2</v>
      </c>
      <c r="D33" s="9"/>
    </row>
    <row r="34" spans="1:6" ht="22.5" customHeight="1">
      <c r="A34" s="5" t="s">
        <v>12</v>
      </c>
      <c r="B34" s="8" t="s">
        <v>183</v>
      </c>
      <c r="C34" s="9">
        <f>'[1]รับจ่ายเงินสด'!B75</f>
        <v>91417.36</v>
      </c>
      <c r="D34" s="9"/>
      <c r="F34" s="10">
        <f>F25-F30</f>
        <v>-38872935.03</v>
      </c>
    </row>
    <row r="35" spans="1:4" ht="22.5" customHeight="1">
      <c r="A35" s="5" t="s">
        <v>12</v>
      </c>
      <c r="B35" s="8" t="s">
        <v>184</v>
      </c>
      <c r="C35" s="9">
        <f>'[1]รับจ่ายเงินสด'!B88</f>
        <v>304682.33</v>
      </c>
      <c r="D35" s="9"/>
    </row>
    <row r="36" spans="1:4" ht="22.5" customHeight="1">
      <c r="A36" s="5" t="s">
        <v>13</v>
      </c>
      <c r="B36" s="8" t="s">
        <v>185</v>
      </c>
      <c r="C36" s="9">
        <f>'[1]รับจ่ายเงินสด'!B76</f>
        <v>90775.35</v>
      </c>
      <c r="D36" s="9"/>
    </row>
    <row r="37" spans="1:4" ht="22.5" customHeight="1">
      <c r="A37" s="5" t="s">
        <v>13</v>
      </c>
      <c r="B37" s="8" t="s">
        <v>186</v>
      </c>
      <c r="C37" s="9">
        <f>'[1]รับจ่ายเงินสด'!B77</f>
        <v>13290</v>
      </c>
      <c r="D37" s="9"/>
    </row>
    <row r="38" spans="1:4" ht="22.5" customHeight="1">
      <c r="A38" s="5" t="s">
        <v>14</v>
      </c>
      <c r="B38" s="8" t="s">
        <v>187</v>
      </c>
      <c r="C38" s="9">
        <f>'[1]รับจ่ายเงินสด'!B79</f>
        <v>2003400</v>
      </c>
      <c r="D38" s="9"/>
    </row>
    <row r="39" spans="1:5" ht="22.5" customHeight="1">
      <c r="A39" s="5" t="s">
        <v>16</v>
      </c>
      <c r="B39" s="8" t="s">
        <v>188</v>
      </c>
      <c r="C39" s="9">
        <f>'[1]รับจ่ายเงินสด'!B80</f>
        <v>23000</v>
      </c>
      <c r="D39" s="9"/>
      <c r="E39" s="10">
        <f>C7+C8+C9+C10+C11+C12+C13+C14+C18+C19+C20+C21+C23+C24+C25+C27+C28+C30+C31+C32+C33+C36+C39+C40</f>
        <v>35181851.34</v>
      </c>
    </row>
    <row r="40" spans="1:4" ht="22.5" customHeight="1">
      <c r="A40" s="5" t="s">
        <v>16</v>
      </c>
      <c r="B40" s="8" t="s">
        <v>189</v>
      </c>
      <c r="C40" s="9">
        <f>'[1]รับจ่ายเงินสด'!B81</f>
        <v>498000</v>
      </c>
      <c r="D40" s="9"/>
    </row>
    <row r="41" spans="1:4" ht="22.5" customHeight="1">
      <c r="A41" s="5" t="s">
        <v>16</v>
      </c>
      <c r="B41" s="8" t="s">
        <v>190</v>
      </c>
      <c r="C41" s="9">
        <f>'[1]รับจ่ายเงินสด'!B89</f>
        <v>30000</v>
      </c>
      <c r="D41" s="9"/>
    </row>
    <row r="42" spans="1:4" ht="23.25" customHeight="1">
      <c r="A42" s="5" t="s">
        <v>57</v>
      </c>
      <c r="B42" s="8" t="s">
        <v>191</v>
      </c>
      <c r="C42" s="9">
        <f>'[1]รับจ่ายเงินสด'!B82</f>
        <v>737834</v>
      </c>
      <c r="D42" s="9"/>
    </row>
    <row r="43" spans="1:4" ht="22.5" customHeight="1">
      <c r="A43" s="5" t="s">
        <v>53</v>
      </c>
      <c r="B43" s="8" t="s">
        <v>192</v>
      </c>
      <c r="C43" s="9"/>
      <c r="D43" s="9">
        <v>6118380.47</v>
      </c>
    </row>
    <row r="44" spans="1:4" ht="22.5" customHeight="1">
      <c r="A44" s="5" t="s">
        <v>17</v>
      </c>
      <c r="B44" s="8" t="s">
        <v>193</v>
      </c>
      <c r="C44" s="9"/>
      <c r="D44" s="9">
        <f>'[1]รับจ่ายเงินสด'!G38</f>
        <v>19872134.35</v>
      </c>
    </row>
    <row r="45" spans="1:6" ht="22.5" customHeight="1" hidden="1">
      <c r="A45" s="5" t="s">
        <v>18</v>
      </c>
      <c r="B45" s="8" t="s">
        <v>194</v>
      </c>
      <c r="C45" s="9"/>
      <c r="D45" s="9">
        <f>56682.86-56682.86</f>
        <v>0</v>
      </c>
      <c r="F45" s="10" t="e">
        <f>F15+C15+C18+C19+#REF!+C20+C21+C24+#REF!+C25+C27+C30+C31+C32+C33+C35+C39+C40+C36+#REF!+C42</f>
        <v>#REF!</v>
      </c>
    </row>
    <row r="46" spans="1:4" ht="22.5" customHeight="1">
      <c r="A46" s="5" t="s">
        <v>54</v>
      </c>
      <c r="B46" s="8" t="s">
        <v>195</v>
      </c>
      <c r="C46" s="9"/>
      <c r="D46" s="9">
        <f>743760-19198</f>
        <v>724562</v>
      </c>
    </row>
    <row r="47" spans="1:6" ht="22.5" customHeight="1">
      <c r="A47" s="5" t="s">
        <v>20</v>
      </c>
      <c r="B47" s="8" t="s">
        <v>196</v>
      </c>
      <c r="C47" s="9"/>
      <c r="D47" s="9">
        <f>13199392.44+39227-1700000</f>
        <v>11538619.44</v>
      </c>
      <c r="F47" s="10" t="e">
        <f>D49-F45</f>
        <v>#REF!</v>
      </c>
    </row>
    <row r="48" spans="1:4" ht="22.5" customHeight="1" thickBot="1">
      <c r="A48" s="11" t="s">
        <v>50</v>
      </c>
      <c r="B48" s="12" t="s">
        <v>197</v>
      </c>
      <c r="C48" s="9"/>
      <c r="D48" s="9">
        <f>'[1]หมายเหตุ 1'!B15</f>
        <v>619238.77</v>
      </c>
    </row>
    <row r="49" spans="1:4" ht="22.5" customHeight="1" thickBot="1" thickTop="1">
      <c r="A49" s="13"/>
      <c r="B49" s="14"/>
      <c r="C49" s="15">
        <f>SUM(C6:C48)</f>
        <v>38872935.03</v>
      </c>
      <c r="D49" s="16">
        <f>SUM(D43:D48)</f>
        <v>38872935.03</v>
      </c>
    </row>
    <row r="51" spans="1:5" ht="21.75" customHeight="1">
      <c r="A51" s="52" t="s">
        <v>235</v>
      </c>
      <c r="B51" s="52"/>
      <c r="C51" s="52"/>
      <c r="D51" s="52"/>
      <c r="E51" s="52"/>
    </row>
    <row r="52" spans="1:5" ht="21.75" customHeight="1">
      <c r="A52" s="53" t="s">
        <v>236</v>
      </c>
      <c r="B52" s="53"/>
      <c r="C52" s="53"/>
      <c r="D52" s="53"/>
      <c r="E52" s="53"/>
    </row>
    <row r="53" spans="1:5" ht="21.75" customHeight="1">
      <c r="A53" s="52" t="s">
        <v>237</v>
      </c>
      <c r="B53" s="52"/>
      <c r="C53" s="52"/>
      <c r="D53" s="52"/>
      <c r="E53" s="52"/>
    </row>
    <row r="54" ht="22.5" customHeight="1">
      <c r="D54" s="3">
        <f>C49-D49</f>
        <v>0</v>
      </c>
    </row>
  </sheetData>
  <sheetProtection/>
  <mergeCells count="7">
    <mergeCell ref="C4:C5"/>
    <mergeCell ref="D4:D5"/>
    <mergeCell ref="A1:D1"/>
    <mergeCell ref="A2:D2"/>
    <mergeCell ref="A3:D3"/>
    <mergeCell ref="A4:A5"/>
    <mergeCell ref="B4:B5"/>
  </mergeCells>
  <printOptions/>
  <pageMargins left="1.141732283464567" right="0.4724409448818898" top="0.4330708661417323" bottom="0.03937007874015748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7" sqref="G7"/>
    </sheetView>
  </sheetViews>
  <sheetFormatPr defaultColWidth="9.140625" defaultRowHeight="27.75" customHeight="1"/>
  <cols>
    <col min="1" max="1" width="9.140625" style="26" customWidth="1"/>
    <col min="2" max="2" width="46.57421875" style="26" customWidth="1"/>
    <col min="3" max="3" width="16.421875" style="26" customWidth="1"/>
    <col min="4" max="4" width="16.28125" style="26" customWidth="1"/>
    <col min="5" max="16384" width="9.140625" style="26" customWidth="1"/>
  </cols>
  <sheetData>
    <row r="1" spans="1:4" ht="27.75" customHeight="1">
      <c r="A1" s="296" t="s">
        <v>98</v>
      </c>
      <c r="B1" s="296"/>
      <c r="C1" s="296"/>
      <c r="D1" s="296"/>
    </row>
    <row r="2" spans="1:4" ht="27.75" customHeight="1">
      <c r="A2" s="296" t="s">
        <v>121</v>
      </c>
      <c r="B2" s="296"/>
      <c r="C2" s="296"/>
      <c r="D2" s="296"/>
    </row>
    <row r="3" spans="1:4" ht="27.75" customHeight="1">
      <c r="A3" s="296" t="s">
        <v>249</v>
      </c>
      <c r="B3" s="296"/>
      <c r="C3" s="296"/>
      <c r="D3" s="296"/>
    </row>
    <row r="4" spans="1:7" ht="27.75" customHeight="1">
      <c r="A4" s="97" t="s">
        <v>122</v>
      </c>
      <c r="B4" s="97" t="s">
        <v>123</v>
      </c>
      <c r="C4" s="97" t="s">
        <v>0</v>
      </c>
      <c r="D4" s="97" t="s">
        <v>100</v>
      </c>
      <c r="G4" s="26">
        <v>59</v>
      </c>
    </row>
    <row r="5" spans="1:7" ht="27.75" customHeight="1">
      <c r="A5" s="98"/>
      <c r="B5" s="99" t="s">
        <v>124</v>
      </c>
      <c r="C5" s="98"/>
      <c r="D5" s="98"/>
      <c r="G5" s="26">
        <v>22</v>
      </c>
    </row>
    <row r="6" spans="1:7" ht="27.75" customHeight="1">
      <c r="A6" s="100"/>
      <c r="B6" s="101"/>
      <c r="C6" s="100"/>
      <c r="D6" s="100"/>
      <c r="G6" s="26">
        <v>7</v>
      </c>
    </row>
    <row r="7" spans="1:7" ht="27.75" customHeight="1">
      <c r="A7" s="100"/>
      <c r="B7" s="100"/>
      <c r="C7" s="102">
        <v>0</v>
      </c>
      <c r="D7" s="100"/>
      <c r="G7" s="26">
        <v>20</v>
      </c>
    </row>
    <row r="8" spans="1:7" ht="27.75" customHeight="1">
      <c r="A8" s="100"/>
      <c r="B8" s="103" t="s">
        <v>44</v>
      </c>
      <c r="C8" s="104">
        <f>SUM(C7)</f>
        <v>0</v>
      </c>
      <c r="D8" s="100"/>
      <c r="G8" s="26">
        <v>27</v>
      </c>
    </row>
    <row r="9" spans="1:7" ht="27.75" customHeight="1">
      <c r="A9" s="100"/>
      <c r="B9" s="103"/>
      <c r="C9" s="102"/>
      <c r="D9" s="100"/>
      <c r="G9" s="26">
        <v>13</v>
      </c>
    </row>
    <row r="10" spans="1:4" ht="27.75" customHeight="1">
      <c r="A10" s="100"/>
      <c r="B10" s="101" t="s">
        <v>125</v>
      </c>
      <c r="C10" s="102"/>
      <c r="D10" s="100"/>
    </row>
    <row r="11" spans="1:4" ht="27.75" customHeight="1">
      <c r="A11" s="100"/>
      <c r="B11" s="101"/>
      <c r="C11" s="102"/>
      <c r="D11" s="100"/>
    </row>
    <row r="12" spans="1:7" ht="27.75" customHeight="1">
      <c r="A12" s="100"/>
      <c r="B12" s="100"/>
      <c r="C12" s="102">
        <v>0</v>
      </c>
      <c r="D12" s="100"/>
      <c r="G12" s="26">
        <f>SUM(G4:G11)</f>
        <v>148</v>
      </c>
    </row>
    <row r="13" spans="1:4" ht="27.75" customHeight="1">
      <c r="A13" s="100"/>
      <c r="B13" s="103" t="s">
        <v>44</v>
      </c>
      <c r="C13" s="104">
        <f>SUM(C12)</f>
        <v>0</v>
      </c>
      <c r="D13" s="100"/>
    </row>
    <row r="14" spans="1:4" ht="27.75" customHeight="1">
      <c r="A14" s="100"/>
      <c r="B14" s="103"/>
      <c r="C14" s="102"/>
      <c r="D14" s="100"/>
    </row>
    <row r="15" spans="1:4" ht="27.75" customHeight="1">
      <c r="A15" s="100"/>
      <c r="B15" s="101" t="s">
        <v>126</v>
      </c>
      <c r="C15" s="102"/>
      <c r="D15" s="100"/>
    </row>
    <row r="16" spans="1:4" ht="27.75" customHeight="1">
      <c r="A16" s="100"/>
      <c r="B16" s="105" t="s">
        <v>357</v>
      </c>
      <c r="C16" s="102">
        <v>73769</v>
      </c>
      <c r="D16" s="100"/>
    </row>
    <row r="17" spans="1:4" ht="27.75" customHeight="1">
      <c r="A17" s="100"/>
      <c r="B17" s="103" t="s">
        <v>44</v>
      </c>
      <c r="C17" s="104">
        <f>SUM(C16)</f>
        <v>73769</v>
      </c>
      <c r="D17" s="100"/>
    </row>
    <row r="18" spans="1:4" ht="27.75" customHeight="1" thickBot="1">
      <c r="A18" s="100"/>
      <c r="B18" s="103" t="s">
        <v>127</v>
      </c>
      <c r="C18" s="106">
        <f>C8+C13+C17</f>
        <v>73769</v>
      </c>
      <c r="D18" s="100"/>
    </row>
    <row r="19" ht="27.75" customHeight="1" thickTop="1"/>
    <row r="21" spans="1:5" s="1" customFormat="1" ht="21.75" customHeight="1">
      <c r="A21" s="52" t="s">
        <v>235</v>
      </c>
      <c r="B21" s="52"/>
      <c r="C21" s="52"/>
      <c r="D21" s="52"/>
      <c r="E21" s="52"/>
    </row>
    <row r="22" spans="1:5" s="1" customFormat="1" ht="21.75" customHeight="1">
      <c r="A22" s="53" t="s">
        <v>277</v>
      </c>
      <c r="B22" s="53"/>
      <c r="C22" s="53"/>
      <c r="D22" s="53"/>
      <c r="E22" s="53"/>
    </row>
    <row r="23" spans="1:5" s="1" customFormat="1" ht="21.75" customHeight="1">
      <c r="A23" s="52" t="s">
        <v>278</v>
      </c>
      <c r="B23" s="52"/>
      <c r="C23" s="52"/>
      <c r="D23" s="52"/>
      <c r="E23" s="52"/>
    </row>
  </sheetData>
  <sheetProtection/>
  <mergeCells count="3">
    <mergeCell ref="A1:D1"/>
    <mergeCell ref="A2:D2"/>
    <mergeCell ref="A3:D3"/>
  </mergeCells>
  <printOptions/>
  <pageMargins left="0.75" right="0.5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45" sqref="B45"/>
    </sheetView>
  </sheetViews>
  <sheetFormatPr defaultColWidth="9.140625" defaultRowHeight="24" customHeight="1"/>
  <cols>
    <col min="1" max="1" width="52.7109375" style="30" customWidth="1"/>
    <col min="2" max="2" width="16.7109375" style="31" customWidth="1"/>
    <col min="3" max="3" width="16.421875" style="30" customWidth="1"/>
    <col min="4" max="4" width="4.421875" style="46" customWidth="1"/>
    <col min="5" max="5" width="15.421875" style="30" customWidth="1"/>
    <col min="6" max="6" width="7.00390625" style="30" customWidth="1"/>
    <col min="7" max="7" width="4.8515625" style="30" customWidth="1"/>
    <col min="8" max="9" width="16.8515625" style="30" bestFit="1" customWidth="1"/>
    <col min="10" max="16384" width="9.140625" style="30" customWidth="1"/>
  </cols>
  <sheetData>
    <row r="1" spans="1:5" ht="24" customHeight="1">
      <c r="A1" s="324" t="s">
        <v>101</v>
      </c>
      <c r="B1" s="324"/>
      <c r="C1" s="324"/>
      <c r="D1" s="324"/>
      <c r="E1" s="324"/>
    </row>
    <row r="2" spans="1:5" ht="24" customHeight="1">
      <c r="A2" s="324" t="s">
        <v>269</v>
      </c>
      <c r="B2" s="324"/>
      <c r="C2" s="324"/>
      <c r="D2" s="324"/>
      <c r="E2" s="324"/>
    </row>
    <row r="3" spans="1:5" ht="24" customHeight="1">
      <c r="A3" s="324" t="s">
        <v>270</v>
      </c>
      <c r="B3" s="324"/>
      <c r="C3" s="324"/>
      <c r="D3" s="324"/>
      <c r="E3" s="324"/>
    </row>
    <row r="4" spans="1:5" ht="19.5" customHeight="1">
      <c r="A4" s="331" t="s">
        <v>272</v>
      </c>
      <c r="B4" s="333" t="s">
        <v>26</v>
      </c>
      <c r="C4" s="331" t="s">
        <v>102</v>
      </c>
      <c r="D4" s="165" t="s">
        <v>103</v>
      </c>
      <c r="E4" s="166" t="s">
        <v>104</v>
      </c>
    </row>
    <row r="5" spans="1:5" ht="19.5" customHeight="1">
      <c r="A5" s="332"/>
      <c r="B5" s="334"/>
      <c r="C5" s="332"/>
      <c r="D5" s="167" t="s">
        <v>105</v>
      </c>
      <c r="E5" s="168" t="s">
        <v>106</v>
      </c>
    </row>
    <row r="6" spans="1:5" s="170" customFormat="1" ht="24" customHeight="1">
      <c r="A6" s="198" t="s">
        <v>107</v>
      </c>
      <c r="B6" s="193"/>
      <c r="C6" s="169"/>
      <c r="D6" s="165"/>
      <c r="E6" s="169"/>
    </row>
    <row r="7" spans="1:8" s="170" customFormat="1" ht="24" customHeight="1">
      <c r="A7" s="199" t="s">
        <v>17</v>
      </c>
      <c r="B7" s="194"/>
      <c r="C7" s="171"/>
      <c r="D7" s="172"/>
      <c r="E7" s="171"/>
      <c r="H7" s="173">
        <f>C16-C15</f>
        <v>12097513.11</v>
      </c>
    </row>
    <row r="8" spans="1:5" s="170" customFormat="1" ht="24" customHeight="1">
      <c r="A8" s="200" t="s">
        <v>31</v>
      </c>
      <c r="B8" s="59">
        <v>202000</v>
      </c>
      <c r="C8" s="174">
        <v>177347.74</v>
      </c>
      <c r="D8" s="175" t="s">
        <v>108</v>
      </c>
      <c r="E8" s="174">
        <f>B8-C8</f>
        <v>24652.26000000001</v>
      </c>
    </row>
    <row r="9" spans="1:8" s="170" customFormat="1" ht="24" customHeight="1">
      <c r="A9" s="200" t="s">
        <v>271</v>
      </c>
      <c r="B9" s="59">
        <v>42100</v>
      </c>
      <c r="C9" s="174">
        <v>32555.2</v>
      </c>
      <c r="D9" s="175" t="s">
        <v>108</v>
      </c>
      <c r="E9" s="174">
        <f>B9-C9</f>
        <v>9544.8</v>
      </c>
      <c r="H9" s="41">
        <f>16344408.13-3587449</f>
        <v>12756959.13</v>
      </c>
    </row>
    <row r="10" spans="1:5" s="170" customFormat="1" ht="24" customHeight="1">
      <c r="A10" s="200" t="s">
        <v>32</v>
      </c>
      <c r="B10" s="59">
        <v>150000</v>
      </c>
      <c r="C10" s="174">
        <v>281491.75</v>
      </c>
      <c r="D10" s="175" t="s">
        <v>103</v>
      </c>
      <c r="E10" s="174">
        <f>C10-B10</f>
        <v>131491.75</v>
      </c>
    </row>
    <row r="11" spans="1:5" s="170" customFormat="1" ht="24" customHeight="1" hidden="1">
      <c r="A11" s="200" t="s">
        <v>33</v>
      </c>
      <c r="B11" s="59">
        <v>0</v>
      </c>
      <c r="C11" s="174">
        <v>0</v>
      </c>
      <c r="D11" s="175"/>
      <c r="E11" s="174">
        <f>C11-B11</f>
        <v>0</v>
      </c>
    </row>
    <row r="12" spans="1:8" s="170" customFormat="1" ht="24" customHeight="1">
      <c r="A12" s="200" t="s">
        <v>34</v>
      </c>
      <c r="B12" s="59">
        <v>120000</v>
      </c>
      <c r="C12" s="174">
        <v>68270</v>
      </c>
      <c r="D12" s="175" t="s">
        <v>108</v>
      </c>
      <c r="E12" s="174">
        <f>B12-C12</f>
        <v>51730</v>
      </c>
      <c r="H12" s="176">
        <f>SUM(E8:E14)</f>
        <v>2797367.23</v>
      </c>
    </row>
    <row r="13" spans="1:5" s="170" customFormat="1" ht="24" customHeight="1">
      <c r="A13" s="59" t="s">
        <v>35</v>
      </c>
      <c r="B13" s="59">
        <v>14000</v>
      </c>
      <c r="C13" s="174">
        <v>0</v>
      </c>
      <c r="D13" s="175" t="s">
        <v>108</v>
      </c>
      <c r="E13" s="174">
        <f>B13-C13</f>
        <v>14000</v>
      </c>
    </row>
    <row r="14" spans="1:8" s="170" customFormat="1" ht="24" customHeight="1">
      <c r="A14" s="200" t="s">
        <v>36</v>
      </c>
      <c r="B14" s="59">
        <v>8971900</v>
      </c>
      <c r="C14" s="174">
        <v>11537848.42</v>
      </c>
      <c r="D14" s="175" t="s">
        <v>103</v>
      </c>
      <c r="E14" s="174">
        <f>C14-B14</f>
        <v>2565948.42</v>
      </c>
      <c r="H14" s="176">
        <f>H12-545398</f>
        <v>2251969.23</v>
      </c>
    </row>
    <row r="15" spans="1:5" s="170" customFormat="1" ht="24" customHeight="1">
      <c r="A15" s="201" t="s">
        <v>208</v>
      </c>
      <c r="B15" s="195">
        <v>4000000</v>
      </c>
      <c r="C15" s="192">
        <v>3997387</v>
      </c>
      <c r="D15" s="178" t="s">
        <v>108</v>
      </c>
      <c r="E15" s="192">
        <f>B15-C15</f>
        <v>2613</v>
      </c>
    </row>
    <row r="16" spans="1:8" s="77" customFormat="1" ht="24" customHeight="1">
      <c r="A16" s="241" t="s">
        <v>109</v>
      </c>
      <c r="B16" s="196">
        <f>SUM(B8:B15)</f>
        <v>13500000</v>
      </c>
      <c r="C16" s="177">
        <f>SUM(C8:C15)</f>
        <v>16094900.11</v>
      </c>
      <c r="D16" s="178" t="s">
        <v>103</v>
      </c>
      <c r="E16" s="177">
        <f>C16-B16</f>
        <v>2594900.1099999994</v>
      </c>
      <c r="H16" s="179">
        <f>C16-B16</f>
        <v>2594900.1099999994</v>
      </c>
    </row>
    <row r="17" spans="1:5" ht="24" customHeight="1">
      <c r="A17" s="30" t="s">
        <v>110</v>
      </c>
      <c r="C17" s="180">
        <v>3777234.24</v>
      </c>
      <c r="D17" s="181"/>
      <c r="E17" s="39"/>
    </row>
    <row r="18" spans="1:8" s="77" customFormat="1" ht="24" customHeight="1">
      <c r="A18" s="77" t="s">
        <v>111</v>
      </c>
      <c r="B18" s="197"/>
      <c r="C18" s="182">
        <f>SUM(C17)</f>
        <v>3777234.24</v>
      </c>
      <c r="D18" s="183"/>
      <c r="E18" s="179"/>
      <c r="H18" s="184">
        <f>E10+E14-E9-E8-E12-E15</f>
        <v>2608900.1100000003</v>
      </c>
    </row>
    <row r="19" spans="1:5" s="77" customFormat="1" ht="24" customHeight="1">
      <c r="A19" s="185" t="s">
        <v>112</v>
      </c>
      <c r="B19" s="197"/>
      <c r="C19" s="182">
        <f>C16+C18</f>
        <v>19872134.35</v>
      </c>
      <c r="D19" s="183"/>
      <c r="E19" s="179"/>
    </row>
    <row r="20" ht="13.5" customHeight="1">
      <c r="H20" s="186">
        <f>B16-C16</f>
        <v>-2594900.1099999994</v>
      </c>
    </row>
    <row r="21" spans="1:5" ht="19.5" customHeight="1">
      <c r="A21" s="331" t="s">
        <v>273</v>
      </c>
      <c r="B21" s="329" t="s">
        <v>26</v>
      </c>
      <c r="C21" s="330" t="s">
        <v>113</v>
      </c>
      <c r="D21" s="187" t="s">
        <v>103</v>
      </c>
      <c r="E21" s="165" t="s">
        <v>104</v>
      </c>
    </row>
    <row r="22" spans="1:5" ht="19.5" customHeight="1">
      <c r="A22" s="332"/>
      <c r="B22" s="329"/>
      <c r="C22" s="330"/>
      <c r="D22" s="188" t="s">
        <v>105</v>
      </c>
      <c r="E22" s="167" t="s">
        <v>106</v>
      </c>
    </row>
    <row r="23" spans="1:5" ht="24" customHeight="1">
      <c r="A23" s="198" t="s">
        <v>114</v>
      </c>
      <c r="B23" s="193"/>
      <c r="C23" s="169"/>
      <c r="D23" s="165"/>
      <c r="E23" s="169"/>
    </row>
    <row r="24" spans="1:9" ht="24" customHeight="1">
      <c r="A24" s="171" t="s">
        <v>15</v>
      </c>
      <c r="B24" s="194">
        <v>431000</v>
      </c>
      <c r="C24" s="174">
        <f>รับจ่ายเงินสด!B53</f>
        <v>378335</v>
      </c>
      <c r="D24" s="175" t="s">
        <v>108</v>
      </c>
      <c r="E24" s="174">
        <f>B24-C24</f>
        <v>52665</v>
      </c>
      <c r="H24" s="189">
        <f>58349.76+6600+216900+894100</f>
        <v>1175949.76</v>
      </c>
      <c r="I24" s="189"/>
    </row>
    <row r="25" spans="1:9" ht="24" customHeight="1">
      <c r="A25" s="171" t="s">
        <v>168</v>
      </c>
      <c r="B25" s="194">
        <f>1286440+510460</f>
        <v>1796900</v>
      </c>
      <c r="C25" s="174">
        <f>รับจ่ายเงินสด!B54+รับจ่ายเงินสด!B55</f>
        <v>1680377</v>
      </c>
      <c r="D25" s="175" t="s">
        <v>108</v>
      </c>
      <c r="E25" s="174">
        <f aca="true" t="shared" si="0" ref="E25:E34">B25-C25</f>
        <v>116523</v>
      </c>
      <c r="H25" s="31">
        <v>11786188.02</v>
      </c>
      <c r="I25" s="189"/>
    </row>
    <row r="26" spans="1:8" ht="24" customHeight="1">
      <c r="A26" s="171" t="s">
        <v>171</v>
      </c>
      <c r="B26" s="194">
        <v>3807420</v>
      </c>
      <c r="C26" s="174">
        <f>รับจ่ายเงินสด!B56</f>
        <v>3721345</v>
      </c>
      <c r="D26" s="175" t="s">
        <v>108</v>
      </c>
      <c r="E26" s="174">
        <f t="shared" si="0"/>
        <v>86075</v>
      </c>
      <c r="H26" s="189">
        <f>SUM(H24:H25)</f>
        <v>12962137.78</v>
      </c>
    </row>
    <row r="27" spans="1:9" ht="24" customHeight="1">
      <c r="A27" s="171" t="s">
        <v>9</v>
      </c>
      <c r="B27" s="194">
        <v>1039600</v>
      </c>
      <c r="C27" s="174">
        <f>รับจ่ายเงินสด!B57+894100</f>
        <v>1034902.5</v>
      </c>
      <c r="D27" s="175" t="s">
        <v>108</v>
      </c>
      <c r="E27" s="174">
        <f t="shared" si="0"/>
        <v>4697.5</v>
      </c>
      <c r="H27" s="189"/>
      <c r="I27" s="189"/>
    </row>
    <row r="28" spans="1:9" ht="24" customHeight="1">
      <c r="A28" s="171" t="s">
        <v>10</v>
      </c>
      <c r="B28" s="194">
        <f>725700+454850</f>
        <v>1180550</v>
      </c>
      <c r="C28" s="174">
        <f>รับจ่ายเงินสด!B59+รับจ่ายเงินสด!B60+6600</f>
        <v>1106722.35</v>
      </c>
      <c r="D28" s="175" t="s">
        <v>108</v>
      </c>
      <c r="E28" s="174">
        <f t="shared" si="0"/>
        <v>73827.6499999999</v>
      </c>
      <c r="H28" s="189"/>
      <c r="I28" s="189"/>
    </row>
    <row r="29" spans="1:9" ht="24" customHeight="1">
      <c r="A29" s="171" t="s">
        <v>11</v>
      </c>
      <c r="B29" s="194">
        <f>761100+362040</f>
        <v>1123140</v>
      </c>
      <c r="C29" s="174">
        <f>รับจ่ายเงินสด!B61+รับจ่ายเงินสด!B62+58349.76</f>
        <v>1078538.02</v>
      </c>
      <c r="D29" s="175" t="s">
        <v>108</v>
      </c>
      <c r="E29" s="174">
        <f t="shared" si="0"/>
        <v>44601.97999999998</v>
      </c>
      <c r="H29" s="189">
        <f>H34+H33</f>
        <v>8963513.309999999</v>
      </c>
      <c r="I29" s="189"/>
    </row>
    <row r="30" spans="1:8" ht="24" customHeight="1">
      <c r="A30" s="171" t="s">
        <v>12</v>
      </c>
      <c r="B30" s="194">
        <f>290140+100000</f>
        <v>390140</v>
      </c>
      <c r="C30" s="174">
        <f>รับจ่ายเงินสด!B63+รับจ่ายเงินสด!B64</f>
        <v>378718.56</v>
      </c>
      <c r="D30" s="175" t="s">
        <v>108</v>
      </c>
      <c r="E30" s="174">
        <f t="shared" si="0"/>
        <v>11421.440000000002</v>
      </c>
      <c r="H30" s="189"/>
    </row>
    <row r="31" spans="1:5" ht="24" customHeight="1">
      <c r="A31" s="171" t="s">
        <v>13</v>
      </c>
      <c r="B31" s="194">
        <f>179000+14200</f>
        <v>193200</v>
      </c>
      <c r="C31" s="174">
        <f>รับจ่ายเงินสด!B65+รับจ่ายเงินสด!B66</f>
        <v>104065.35</v>
      </c>
      <c r="D31" s="175" t="s">
        <v>108</v>
      </c>
      <c r="E31" s="174">
        <f t="shared" si="0"/>
        <v>89134.65</v>
      </c>
    </row>
    <row r="32" spans="1:5" ht="24" customHeight="1">
      <c r="A32" s="171" t="s">
        <v>14</v>
      </c>
      <c r="B32" s="194">
        <f>216900+2060450</f>
        <v>2277350</v>
      </c>
      <c r="C32" s="174">
        <f>รับจ่ายเงินสด!B68+รับจ่ายเงินสด!B67+216900</f>
        <v>2220300</v>
      </c>
      <c r="D32" s="175" t="s">
        <v>108</v>
      </c>
      <c r="E32" s="174">
        <f t="shared" si="0"/>
        <v>57050</v>
      </c>
    </row>
    <row r="33" spans="1:8" ht="24" customHeight="1">
      <c r="A33" s="171" t="s">
        <v>16</v>
      </c>
      <c r="B33" s="194">
        <f>23000+498000</f>
        <v>521000</v>
      </c>
      <c r="C33" s="174">
        <f>รับจ่ายเงินสด!B69+รับจ่ายเงินสด!B70</f>
        <v>521000</v>
      </c>
      <c r="D33" s="175" t="s">
        <v>108</v>
      </c>
      <c r="E33" s="174">
        <f>B33-C33</f>
        <v>0</v>
      </c>
      <c r="H33" s="189">
        <f>737900+557050</f>
        <v>1294950</v>
      </c>
    </row>
    <row r="34" spans="1:9" ht="24" customHeight="1">
      <c r="A34" s="220" t="s">
        <v>57</v>
      </c>
      <c r="B34" s="240">
        <v>739700</v>
      </c>
      <c r="C34" s="192">
        <f>รับจ่ายเงินสด!B71</f>
        <v>737834</v>
      </c>
      <c r="D34" s="178" t="s">
        <v>108</v>
      </c>
      <c r="E34" s="192">
        <f t="shared" si="0"/>
        <v>1866</v>
      </c>
      <c r="H34" s="189">
        <v>7668563.31</v>
      </c>
      <c r="I34" s="189"/>
    </row>
    <row r="35" spans="1:8" s="77" customFormat="1" ht="24" customHeight="1">
      <c r="A35" s="239" t="s">
        <v>115</v>
      </c>
      <c r="B35" s="196">
        <f>SUM(B24:B34)</f>
        <v>13500000</v>
      </c>
      <c r="C35" s="177">
        <f>SUM(C24:C34)</f>
        <v>12962137.78</v>
      </c>
      <c r="D35" s="190" t="s">
        <v>108</v>
      </c>
      <c r="E35" s="177">
        <f>SUM(E24:E34)</f>
        <v>537862.2199999999</v>
      </c>
      <c r="H35" s="179">
        <f>B35-C35</f>
        <v>537862.2200000007</v>
      </c>
    </row>
    <row r="36" spans="1:5" ht="24" customHeight="1">
      <c r="A36" s="77" t="s">
        <v>116</v>
      </c>
      <c r="B36" s="197"/>
      <c r="C36" s="182">
        <v>3605007.33</v>
      </c>
      <c r="D36" s="181"/>
      <c r="E36" s="39"/>
    </row>
    <row r="37" spans="1:5" s="77" customFormat="1" ht="24" customHeight="1">
      <c r="A37" s="185" t="s">
        <v>117</v>
      </c>
      <c r="B37" s="197"/>
      <c r="C37" s="182">
        <f>C35+C36</f>
        <v>16567145.11</v>
      </c>
      <c r="D37" s="183"/>
      <c r="E37" s="179"/>
    </row>
    <row r="38" spans="1:8" s="77" customFormat="1" ht="24" customHeight="1">
      <c r="A38" s="185" t="s">
        <v>118</v>
      </c>
      <c r="B38" s="197"/>
      <c r="C38" s="182">
        <f>C19-C37</f>
        <v>3304989.240000002</v>
      </c>
      <c r="D38" s="183"/>
      <c r="E38" s="179"/>
      <c r="H38" s="77">
        <f>121205.34+717336.36+2152009.08</f>
        <v>2990550.7800000003</v>
      </c>
    </row>
    <row r="39" spans="1:5" s="1" customFormat="1" ht="51" customHeight="1">
      <c r="A39" s="52" t="s">
        <v>274</v>
      </c>
      <c r="B39" s="52"/>
      <c r="C39" s="52"/>
      <c r="D39" s="52"/>
      <c r="E39" s="52"/>
    </row>
    <row r="40" spans="1:5" s="1" customFormat="1" ht="21.75" customHeight="1">
      <c r="A40" s="53" t="s">
        <v>275</v>
      </c>
      <c r="B40" s="53"/>
      <c r="C40" s="53"/>
      <c r="D40" s="53"/>
      <c r="E40" s="53"/>
    </row>
    <row r="41" spans="1:5" s="1" customFormat="1" ht="21.75" customHeight="1">
      <c r="A41" s="52" t="s">
        <v>276</v>
      </c>
      <c r="B41" s="52"/>
      <c r="C41" s="52"/>
      <c r="D41" s="52"/>
      <c r="E41" s="52"/>
    </row>
    <row r="44" ht="24" customHeight="1">
      <c r="H44" s="30">
        <f>9150981.58+743760+56682.86</f>
        <v>9951424.44</v>
      </c>
    </row>
    <row r="46" ht="24" customHeight="1">
      <c r="H46" s="186">
        <f>C35-H44</f>
        <v>3010713.34</v>
      </c>
    </row>
  </sheetData>
  <sheetProtection/>
  <mergeCells count="9">
    <mergeCell ref="B21:B22"/>
    <mergeCell ref="C21:C22"/>
    <mergeCell ref="A21:A22"/>
    <mergeCell ref="A1:E1"/>
    <mergeCell ref="A2:E2"/>
    <mergeCell ref="A3:E3"/>
    <mergeCell ref="C4:C5"/>
    <mergeCell ref="B4:B5"/>
    <mergeCell ref="A4:A5"/>
  </mergeCells>
  <printOptions/>
  <pageMargins left="0.4724409448818898" right="0.31496062992125984" top="0.3937007874015748" bottom="0.1968503937007874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M99" sqref="M99"/>
    </sheetView>
  </sheetViews>
  <sheetFormatPr defaultColWidth="9.140625" defaultRowHeight="12.75"/>
  <cols>
    <col min="1" max="3" width="9.140625" style="18" customWidth="1"/>
    <col min="4" max="4" width="7.7109375" style="18" customWidth="1"/>
    <col min="5" max="5" width="8.140625" style="18" customWidth="1"/>
    <col min="6" max="6" width="10.421875" style="18" customWidth="1"/>
    <col min="7" max="7" width="14.28125" style="18" customWidth="1"/>
    <col min="8" max="8" width="17.28125" style="17" customWidth="1"/>
    <col min="9" max="9" width="0" style="18" hidden="1" customWidth="1"/>
    <col min="10" max="16384" width="9.140625" style="18" customWidth="1"/>
  </cols>
  <sheetData>
    <row r="1" spans="1:8" ht="35.25" customHeight="1">
      <c r="A1" s="311" t="s">
        <v>98</v>
      </c>
      <c r="B1" s="311"/>
      <c r="C1" s="311"/>
      <c r="D1" s="311"/>
      <c r="E1" s="311"/>
      <c r="F1" s="311"/>
      <c r="G1" s="311"/>
      <c r="H1" s="311"/>
    </row>
    <row r="2" spans="1:8" ht="26.25" customHeight="1">
      <c r="A2" s="337" t="s">
        <v>243</v>
      </c>
      <c r="B2" s="337"/>
      <c r="C2" s="337"/>
      <c r="D2" s="337"/>
      <c r="E2" s="337"/>
      <c r="F2" s="337"/>
      <c r="G2" s="337"/>
      <c r="H2" s="337"/>
    </row>
    <row r="3" spans="1:8" ht="31.5" customHeight="1">
      <c r="A3" s="326" t="s">
        <v>155</v>
      </c>
      <c r="B3" s="326"/>
      <c r="C3" s="326"/>
      <c r="D3" s="326"/>
      <c r="E3" s="326"/>
      <c r="F3" s="326"/>
      <c r="G3" s="326"/>
      <c r="H3" s="326"/>
    </row>
    <row r="4" spans="1:8" ht="10.5" customHeight="1">
      <c r="A4" s="162"/>
      <c r="B4" s="162"/>
      <c r="C4" s="162"/>
      <c r="D4" s="162"/>
      <c r="E4" s="162"/>
      <c r="F4" s="162"/>
      <c r="G4" s="162"/>
      <c r="H4" s="162"/>
    </row>
    <row r="5" spans="1:8" ht="24" customHeight="1">
      <c r="A5" s="336" t="s">
        <v>119</v>
      </c>
      <c r="B5" s="326"/>
      <c r="C5" s="326"/>
      <c r="D5" s="326"/>
      <c r="E5" s="326"/>
      <c r="F5" s="326"/>
      <c r="G5" s="326"/>
      <c r="H5" s="326"/>
    </row>
    <row r="6" spans="1:8" ht="21" thickBot="1">
      <c r="A6" s="19" t="s">
        <v>281</v>
      </c>
      <c r="B6" s="19"/>
      <c r="C6" s="19"/>
      <c r="D6" s="19"/>
      <c r="E6" s="19"/>
      <c r="F6" s="19"/>
      <c r="G6" s="19"/>
      <c r="H6" s="215">
        <f>งบทรัพย์สิน!E38</f>
        <v>24382371.96</v>
      </c>
    </row>
    <row r="7" ht="6" customHeight="1" thickTop="1">
      <c r="H7" s="116"/>
    </row>
    <row r="8" spans="1:8" ht="23.25" customHeight="1">
      <c r="A8" s="18" t="s">
        <v>282</v>
      </c>
      <c r="H8" s="17">
        <f>H48</f>
        <v>23418571.879999995</v>
      </c>
    </row>
    <row r="9" spans="1:8" ht="22.5" customHeight="1">
      <c r="A9" s="18" t="s">
        <v>8</v>
      </c>
      <c r="H9" s="17">
        <f>งบทดลองหลังปิดบัญชี!C15</f>
        <v>73768.99999999999</v>
      </c>
    </row>
    <row r="10" spans="1:8" ht="20.25" hidden="1">
      <c r="A10" s="18" t="s">
        <v>7</v>
      </c>
      <c r="H10" s="17">
        <f>'[3]กระดาษทำการ'!I14</f>
        <v>0</v>
      </c>
    </row>
    <row r="11" s="19" customFormat="1" ht="21" thickBot="1">
      <c r="H11" s="202">
        <f>SUM(H8:H10)</f>
        <v>23492340.879999995</v>
      </c>
    </row>
    <row r="12" ht="18.75" customHeight="1" thickTop="1">
      <c r="H12" s="24"/>
    </row>
    <row r="13" spans="1:8" ht="27.75" customHeight="1">
      <c r="A13" s="336" t="s">
        <v>120</v>
      </c>
      <c r="B13" s="326"/>
      <c r="C13" s="326"/>
      <c r="D13" s="326"/>
      <c r="E13" s="326"/>
      <c r="F13" s="326"/>
      <c r="G13" s="326"/>
      <c r="H13" s="326"/>
    </row>
    <row r="14" spans="1:8" ht="21" thickBot="1">
      <c r="A14" s="19" t="s">
        <v>283</v>
      </c>
      <c r="B14" s="19"/>
      <c r="C14" s="19"/>
      <c r="D14" s="19"/>
      <c r="E14" s="19"/>
      <c r="F14" s="19"/>
      <c r="G14" s="19"/>
      <c r="H14" s="218">
        <f>H6</f>
        <v>24382371.96</v>
      </c>
    </row>
    <row r="15" ht="6" customHeight="1" thickTop="1"/>
    <row r="16" spans="1:8" ht="20.25">
      <c r="A16" s="18" t="s">
        <v>284</v>
      </c>
      <c r="H16" s="17">
        <f>H83</f>
        <v>619238.77</v>
      </c>
    </row>
    <row r="17" spans="1:8" ht="20.25">
      <c r="A17" s="18" t="s">
        <v>285</v>
      </c>
      <c r="H17" s="17">
        <f>H121</f>
        <v>14795581.300000003</v>
      </c>
    </row>
    <row r="18" spans="1:8" ht="20.25">
      <c r="A18" s="18" t="s">
        <v>286</v>
      </c>
      <c r="H18" s="17">
        <f>ค้างจ่าย!E15</f>
        <v>281849.76</v>
      </c>
    </row>
    <row r="19" spans="1:8" ht="20.25">
      <c r="A19" s="18" t="s">
        <v>287</v>
      </c>
      <c r="H19" s="17">
        <f>รอจ่าย!C17</f>
        <v>894100</v>
      </c>
    </row>
    <row r="20" spans="1:8" ht="20.25">
      <c r="A20" s="18" t="s">
        <v>53</v>
      </c>
      <c r="H20" s="17">
        <f>งบทดลองหลังปิดบัญชี!D19</f>
        <v>6901571.05</v>
      </c>
    </row>
    <row r="21" spans="8:9" s="19" customFormat="1" ht="21" thickBot="1">
      <c r="H21" s="202">
        <f>SUM(H16:H20)</f>
        <v>23492340.880000003</v>
      </c>
      <c r="I21" s="203">
        <f>H11-H21</f>
        <v>0</v>
      </c>
    </row>
    <row r="22" spans="1:8" ht="22.5" customHeight="1" thickTop="1">
      <c r="A22" s="204"/>
      <c r="H22" s="205"/>
    </row>
    <row r="23" spans="1:8" ht="22.5" customHeight="1">
      <c r="A23" s="204"/>
      <c r="H23" s="205"/>
    </row>
    <row r="24" spans="2:8" ht="20.25">
      <c r="B24" s="17"/>
      <c r="C24" s="17"/>
      <c r="H24" s="205"/>
    </row>
    <row r="25" spans="2:8" ht="20.25">
      <c r="B25" s="17"/>
      <c r="C25" s="17"/>
      <c r="G25" s="81"/>
      <c r="H25" s="205"/>
    </row>
    <row r="26" spans="1:5" s="1" customFormat="1" ht="21.75" customHeight="1">
      <c r="A26" s="52" t="s">
        <v>297</v>
      </c>
      <c r="B26" s="52"/>
      <c r="C26" s="52"/>
      <c r="D26" s="52"/>
      <c r="E26" s="52"/>
    </row>
    <row r="27" spans="1:5" s="1" customFormat="1" ht="21.75" customHeight="1">
      <c r="A27" s="53" t="s">
        <v>298</v>
      </c>
      <c r="B27" s="53"/>
      <c r="C27" s="53"/>
      <c r="D27" s="53"/>
      <c r="E27" s="53"/>
    </row>
    <row r="28" spans="1:5" s="1" customFormat="1" ht="21.75" customHeight="1">
      <c r="A28" s="52" t="s">
        <v>299</v>
      </c>
      <c r="B28" s="52"/>
      <c r="C28" s="52"/>
      <c r="D28" s="52"/>
      <c r="E28" s="52"/>
    </row>
    <row r="29" spans="2:8" ht="17.25" customHeight="1">
      <c r="B29" s="17"/>
      <c r="C29" s="17"/>
      <c r="H29" s="205"/>
    </row>
    <row r="30" spans="2:8" ht="21" customHeight="1">
      <c r="B30" s="17"/>
      <c r="C30" s="17"/>
      <c r="H30" s="205"/>
    </row>
    <row r="31" spans="1:8" ht="20.25">
      <c r="A31" s="17"/>
      <c r="B31" s="17"/>
      <c r="C31" s="163"/>
      <c r="G31" s="17"/>
      <c r="H31" s="18"/>
    </row>
    <row r="32" spans="1:8" ht="12.75" customHeight="1">
      <c r="A32" s="17"/>
      <c r="B32" s="17"/>
      <c r="C32" s="163"/>
      <c r="G32" s="17"/>
      <c r="H32" s="18"/>
    </row>
    <row r="33" spans="1:8" ht="20.25">
      <c r="A33" s="149"/>
      <c r="C33" s="20"/>
      <c r="E33" s="149"/>
      <c r="G33" s="149"/>
      <c r="H33" s="18"/>
    </row>
    <row r="34" spans="1:8" ht="20.25">
      <c r="A34" s="296"/>
      <c r="B34" s="296"/>
      <c r="C34" s="296"/>
      <c r="D34" s="296"/>
      <c r="G34" s="296"/>
      <c r="H34" s="296"/>
    </row>
    <row r="35" spans="1:8" ht="20.25">
      <c r="A35" s="296"/>
      <c r="B35" s="296"/>
      <c r="C35" s="296"/>
      <c r="D35" s="296"/>
      <c r="G35" s="324"/>
      <c r="H35" s="324"/>
    </row>
    <row r="36" spans="1:8" ht="20.25">
      <c r="A36" s="26"/>
      <c r="B36" s="26"/>
      <c r="C36" s="26"/>
      <c r="D36" s="26"/>
      <c r="G36" s="46"/>
      <c r="H36" s="46"/>
    </row>
    <row r="37" spans="1:8" ht="20.25">
      <c r="A37" s="26"/>
      <c r="B37" s="26"/>
      <c r="C37" s="26"/>
      <c r="D37" s="26"/>
      <c r="G37" s="46"/>
      <c r="H37" s="46"/>
    </row>
    <row r="38" spans="1:8" s="208" customFormat="1" ht="27.75" customHeight="1">
      <c r="A38" s="326" t="s">
        <v>300</v>
      </c>
      <c r="B38" s="326"/>
      <c r="C38" s="326"/>
      <c r="D38" s="326"/>
      <c r="E38" s="326"/>
      <c r="F38" s="326"/>
      <c r="G38" s="326"/>
      <c r="H38" s="326"/>
    </row>
    <row r="39" spans="1:8" s="208" customFormat="1" ht="23.25">
      <c r="A39" s="326" t="s">
        <v>282</v>
      </c>
      <c r="B39" s="326"/>
      <c r="C39" s="326"/>
      <c r="D39" s="326"/>
      <c r="E39" s="326"/>
      <c r="F39" s="326"/>
      <c r="G39" s="326"/>
      <c r="H39" s="326"/>
    </row>
    <row r="41" spans="1:8" ht="26.25" customHeight="1">
      <c r="A41" s="91" t="s">
        <v>59</v>
      </c>
      <c r="B41" s="170"/>
      <c r="C41" s="115"/>
      <c r="D41" s="115"/>
      <c r="E41" s="115"/>
      <c r="F41" s="115"/>
      <c r="G41" s="115"/>
      <c r="H41" s="24">
        <f>งบทดลองหลังปิดบัญชี!C8</f>
        <v>6174485.639999997</v>
      </c>
    </row>
    <row r="42" spans="1:8" ht="26.25" customHeight="1">
      <c r="A42" s="91" t="s">
        <v>60</v>
      </c>
      <c r="B42" s="170"/>
      <c r="C42" s="115"/>
      <c r="D42" s="115"/>
      <c r="E42" s="115"/>
      <c r="F42" s="115"/>
      <c r="G42" s="115"/>
      <c r="H42" s="24">
        <f>งบทดลองหลังปิดบัญชี!C9</f>
        <v>13533.369999999995</v>
      </c>
    </row>
    <row r="43" spans="1:8" ht="26.25" customHeight="1">
      <c r="A43" s="91" t="s">
        <v>128</v>
      </c>
      <c r="B43" s="170"/>
      <c r="C43" s="115"/>
      <c r="D43" s="115"/>
      <c r="E43" s="115"/>
      <c r="F43" s="115"/>
      <c r="G43" s="115"/>
      <c r="H43" s="24">
        <f>งบทดลองหลังปิดบัญชี!C10</f>
        <v>9718701.57</v>
      </c>
    </row>
    <row r="44" spans="1:8" ht="26.25" customHeight="1">
      <c r="A44" s="91" t="s">
        <v>132</v>
      </c>
      <c r="B44" s="170"/>
      <c r="C44" s="115"/>
      <c r="D44" s="115"/>
      <c r="E44" s="115"/>
      <c r="F44" s="115"/>
      <c r="G44" s="115"/>
      <c r="H44" s="24">
        <f>งบทดลองหลังปิดบัญชี!C11</f>
        <v>4160527.4399999995</v>
      </c>
    </row>
    <row r="45" spans="1:8" ht="26.25" customHeight="1">
      <c r="A45" s="91" t="s">
        <v>61</v>
      </c>
      <c r="B45" s="170"/>
      <c r="C45" s="115"/>
      <c r="D45" s="115"/>
      <c r="E45" s="115"/>
      <c r="F45" s="115"/>
      <c r="G45" s="115"/>
      <c r="H45" s="24">
        <f>งบทดลองหลังปิดบัญชี!C12</f>
        <v>286980.58</v>
      </c>
    </row>
    <row r="46" spans="1:8" ht="26.25" customHeight="1">
      <c r="A46" s="91" t="s">
        <v>160</v>
      </c>
      <c r="B46" s="170"/>
      <c r="C46" s="115"/>
      <c r="D46" s="115"/>
      <c r="E46" s="115"/>
      <c r="F46" s="115"/>
      <c r="G46" s="115"/>
      <c r="H46" s="24">
        <f>งบทดลองหลังปิดบัญชี!C13</f>
        <v>64343.27999999989</v>
      </c>
    </row>
    <row r="47" spans="1:8" ht="26.25" customHeight="1">
      <c r="A47" s="91" t="s">
        <v>161</v>
      </c>
      <c r="B47" s="170"/>
      <c r="C47" s="115"/>
      <c r="D47" s="115"/>
      <c r="E47" s="115"/>
      <c r="F47" s="115"/>
      <c r="H47" s="24">
        <f>งบทดลองหลังปิดบัญชี!C14</f>
        <v>3000000</v>
      </c>
    </row>
    <row r="48" spans="1:8" ht="27.75" customHeight="1" thickBot="1">
      <c r="A48" s="115"/>
      <c r="H48" s="202">
        <f>SUM(H41:H47)</f>
        <v>23418571.879999995</v>
      </c>
    </row>
    <row r="49" ht="21" thickTop="1"/>
    <row r="50" spans="1:8" ht="20.25">
      <c r="A50" s="151"/>
      <c r="C50" s="48"/>
      <c r="H50" s="207"/>
    </row>
    <row r="71" spans="1:8" ht="23.25">
      <c r="A71" s="326" t="s">
        <v>301</v>
      </c>
      <c r="B71" s="326"/>
      <c r="C71" s="326"/>
      <c r="D71" s="326"/>
      <c r="E71" s="326"/>
      <c r="F71" s="326"/>
      <c r="G71" s="326"/>
      <c r="H71" s="326"/>
    </row>
    <row r="72" spans="1:8" ht="23.25">
      <c r="A72" s="326" t="s">
        <v>284</v>
      </c>
      <c r="B72" s="326"/>
      <c r="C72" s="326"/>
      <c r="D72" s="326"/>
      <c r="E72" s="326"/>
      <c r="F72" s="326"/>
      <c r="G72" s="326"/>
      <c r="H72" s="326"/>
    </row>
    <row r="73" spans="1:8" s="115" customFormat="1" ht="20.25">
      <c r="A73" s="18" t="s">
        <v>52</v>
      </c>
      <c r="H73" s="17">
        <f>'หมายเหตุ 1 ปิดบัญชี'!B4</f>
        <v>14829.660000000002</v>
      </c>
    </row>
    <row r="74" spans="1:8" s="115" customFormat="1" ht="20.25">
      <c r="A74" s="18" t="s">
        <v>21</v>
      </c>
      <c r="H74" s="17">
        <f>'หมายเหตุ 1 ปิดบัญชี'!B5</f>
        <v>285380</v>
      </c>
    </row>
    <row r="75" spans="1:8" s="115" customFormat="1" ht="20.25">
      <c r="A75" s="18" t="s">
        <v>63</v>
      </c>
      <c r="H75" s="17">
        <f>'หมายเหตุ 1'!B7</f>
        <v>9011.64</v>
      </c>
    </row>
    <row r="76" spans="1:8" s="115" customFormat="1" ht="20.25">
      <c r="A76" s="18" t="s">
        <v>64</v>
      </c>
      <c r="H76" s="17">
        <f>'หมายเหตุ 1'!B8</f>
        <v>13491.69</v>
      </c>
    </row>
    <row r="77" spans="1:8" s="115" customFormat="1" ht="20.25">
      <c r="A77" s="18" t="s">
        <v>65</v>
      </c>
      <c r="H77" s="17">
        <f>'หมายเหตุ 1'!B9</f>
        <v>286980.58</v>
      </c>
    </row>
    <row r="78" spans="1:8" s="115" customFormat="1" ht="20.25">
      <c r="A78" s="18" t="s">
        <v>153</v>
      </c>
      <c r="H78" s="17">
        <f>'หมายเหตุ 1'!B10</f>
        <v>638</v>
      </c>
    </row>
    <row r="79" spans="1:8" s="115" customFormat="1" ht="20.25">
      <c r="A79" s="18" t="s">
        <v>143</v>
      </c>
      <c r="H79" s="17">
        <f>'หมายเหตุ 1'!B11</f>
        <v>100</v>
      </c>
    </row>
    <row r="80" spans="1:8" s="115" customFormat="1" ht="20.25">
      <c r="A80" s="18" t="s">
        <v>233</v>
      </c>
      <c r="H80" s="17">
        <f>'หมายเหตุ 1'!B12</f>
        <v>0</v>
      </c>
    </row>
    <row r="81" spans="1:8" ht="20.25">
      <c r="A81" s="18" t="s">
        <v>130</v>
      </c>
      <c r="H81" s="17">
        <f>'หมายเหตุ 1'!B13</f>
        <v>8807.199999999997</v>
      </c>
    </row>
    <row r="82" spans="1:8" ht="20.25">
      <c r="A82" s="18" t="s">
        <v>234</v>
      </c>
      <c r="H82" s="17">
        <f>'หมายเหตุ 1'!B14</f>
        <v>0</v>
      </c>
    </row>
    <row r="83" spans="2:8" ht="28.5" customHeight="1" thickBot="1">
      <c r="B83" s="17"/>
      <c r="C83" s="17"/>
      <c r="H83" s="216">
        <f>SUM(H73:H82)</f>
        <v>619238.77</v>
      </c>
    </row>
    <row r="84" spans="2:8" ht="21" thickTop="1">
      <c r="B84" s="17"/>
      <c r="C84" s="17"/>
      <c r="G84" s="81"/>
      <c r="H84" s="205"/>
    </row>
    <row r="85" spans="2:8" ht="17.25" customHeight="1">
      <c r="B85" s="17"/>
      <c r="C85" s="17"/>
      <c r="H85" s="205"/>
    </row>
    <row r="86" spans="2:8" ht="20.25">
      <c r="B86" s="17"/>
      <c r="C86" s="17"/>
      <c r="H86" s="205"/>
    </row>
    <row r="87" spans="1:8" ht="24" customHeight="1">
      <c r="A87" s="149"/>
      <c r="C87" s="20"/>
      <c r="E87" s="149"/>
      <c r="G87" s="149"/>
      <c r="H87" s="205"/>
    </row>
    <row r="88" spans="1:8" ht="20.25">
      <c r="A88" s="84"/>
      <c r="C88" s="20"/>
      <c r="E88" s="84"/>
      <c r="G88" s="296"/>
      <c r="H88" s="296"/>
    </row>
    <row r="89" spans="1:8" ht="20.25">
      <c r="A89" s="84"/>
      <c r="B89" s="85"/>
      <c r="C89" s="20"/>
      <c r="E89" s="84"/>
      <c r="F89" s="85"/>
      <c r="G89" s="296"/>
      <c r="H89" s="296"/>
    </row>
    <row r="90" spans="1:3" ht="20.25">
      <c r="A90" s="84"/>
      <c r="B90" s="85"/>
      <c r="C90" s="20"/>
    </row>
    <row r="91" spans="1:8" ht="20.25">
      <c r="A91" s="300"/>
      <c r="B91" s="300"/>
      <c r="C91" s="300"/>
      <c r="G91" s="206"/>
      <c r="H91" s="18"/>
    </row>
    <row r="92" spans="1:8" ht="20.25">
      <c r="A92" s="17"/>
      <c r="B92" s="17"/>
      <c r="C92" s="163"/>
      <c r="G92" s="17"/>
      <c r="H92" s="18"/>
    </row>
    <row r="93" spans="1:8" ht="20.25">
      <c r="A93" s="17"/>
      <c r="B93" s="17"/>
      <c r="C93" s="163"/>
      <c r="G93" s="17"/>
      <c r="H93" s="18"/>
    </row>
    <row r="94" spans="1:8" ht="20.25">
      <c r="A94" s="149"/>
      <c r="C94" s="20"/>
      <c r="E94" s="149"/>
      <c r="G94" s="149"/>
      <c r="H94" s="18"/>
    </row>
    <row r="95" spans="1:8" ht="20.25">
      <c r="A95" s="296"/>
      <c r="B95" s="296"/>
      <c r="C95" s="296"/>
      <c r="D95" s="296"/>
      <c r="G95" s="296"/>
      <c r="H95" s="296"/>
    </row>
    <row r="96" spans="1:8" ht="20.25">
      <c r="A96" s="296"/>
      <c r="B96" s="296"/>
      <c r="C96" s="296"/>
      <c r="D96" s="296"/>
      <c r="G96" s="324"/>
      <c r="H96" s="324"/>
    </row>
    <row r="106" spans="1:8" s="208" customFormat="1" ht="23.25">
      <c r="A106" s="326" t="s">
        <v>303</v>
      </c>
      <c r="B106" s="326"/>
      <c r="C106" s="326"/>
      <c r="D106" s="326"/>
      <c r="E106" s="326"/>
      <c r="F106" s="326"/>
      <c r="G106" s="326"/>
      <c r="H106" s="217" t="s">
        <v>302</v>
      </c>
    </row>
    <row r="107" spans="1:8" s="208" customFormat="1" ht="23.25">
      <c r="A107" s="326" t="s">
        <v>288</v>
      </c>
      <c r="B107" s="326"/>
      <c r="C107" s="326"/>
      <c r="D107" s="326"/>
      <c r="E107" s="326"/>
      <c r="F107" s="326"/>
      <c r="G107" s="326"/>
      <c r="H107" s="326"/>
    </row>
    <row r="108" spans="1:8" s="208" customFormat="1" ht="23.25">
      <c r="A108" s="326" t="s">
        <v>155</v>
      </c>
      <c r="B108" s="326"/>
      <c r="C108" s="326"/>
      <c r="D108" s="326"/>
      <c r="E108" s="326"/>
      <c r="F108" s="326"/>
      <c r="G108" s="326"/>
      <c r="H108" s="326"/>
    </row>
    <row r="109" s="208" customFormat="1" ht="23.25">
      <c r="H109" s="209"/>
    </row>
    <row r="110" spans="1:8" ht="24" customHeight="1">
      <c r="A110" s="18" t="s">
        <v>289</v>
      </c>
      <c r="H110" s="17">
        <v>13199392.44</v>
      </c>
    </row>
    <row r="111" spans="1:7" ht="24" customHeight="1">
      <c r="A111" s="210" t="s">
        <v>290</v>
      </c>
      <c r="B111" s="163" t="s">
        <v>291</v>
      </c>
      <c r="C111" s="163"/>
      <c r="D111" s="163"/>
      <c r="G111" s="22">
        <f>'งบรายรับ-รายจ่าย'!C38</f>
        <v>3304989.240000002</v>
      </c>
    </row>
    <row r="112" spans="1:10" ht="24" customHeight="1">
      <c r="A112" s="210"/>
      <c r="B112" s="17" t="s">
        <v>292</v>
      </c>
      <c r="E112" s="57"/>
      <c r="F112" s="57"/>
      <c r="G112" s="57">
        <v>724562</v>
      </c>
      <c r="H112" s="18"/>
      <c r="J112" s="17"/>
    </row>
    <row r="113" spans="1:7" ht="24" customHeight="1">
      <c r="A113" s="210"/>
      <c r="B113" s="17" t="s">
        <v>307</v>
      </c>
      <c r="G113" s="214">
        <f>73769-63167.8</f>
        <v>10601.199999999997</v>
      </c>
    </row>
    <row r="114" spans="1:10" ht="24" customHeight="1">
      <c r="A114" s="210"/>
      <c r="B114" s="335" t="s">
        <v>304</v>
      </c>
      <c r="C114" s="335"/>
      <c r="D114" s="335"/>
      <c r="E114" s="335"/>
      <c r="F114" s="335"/>
      <c r="G114" s="57">
        <v>39227</v>
      </c>
      <c r="H114" s="211">
        <f>SUM(G111:G114)</f>
        <v>4079379.4400000023</v>
      </c>
      <c r="J114" s="17"/>
    </row>
    <row r="115" spans="3:8" ht="24" customHeight="1">
      <c r="C115" s="212"/>
      <c r="D115" s="212"/>
      <c r="E115" s="212"/>
      <c r="F115" s="212"/>
      <c r="G115" s="213"/>
      <c r="H115" s="96">
        <f>SUM(H110:H114)</f>
        <v>17278771.880000003</v>
      </c>
    </row>
    <row r="116" spans="1:8" ht="24" customHeight="1">
      <c r="A116" s="210" t="s">
        <v>293</v>
      </c>
      <c r="B116" s="160" t="s">
        <v>305</v>
      </c>
      <c r="G116" s="214"/>
      <c r="H116" s="17">
        <v>1135000</v>
      </c>
    </row>
    <row r="117" spans="1:8" ht="24" customHeight="1">
      <c r="A117" s="210"/>
      <c r="B117" s="160" t="s">
        <v>306</v>
      </c>
      <c r="G117" s="214"/>
      <c r="H117" s="17">
        <v>565000</v>
      </c>
    </row>
    <row r="118" spans="1:8" ht="24" customHeight="1">
      <c r="A118" s="18" t="s">
        <v>294</v>
      </c>
      <c r="B118" s="17" t="s">
        <v>295</v>
      </c>
      <c r="G118" s="214"/>
      <c r="H118" s="211">
        <v>783190.58</v>
      </c>
    </row>
    <row r="119" spans="2:8" ht="24" customHeight="1">
      <c r="B119" s="17"/>
      <c r="G119" s="214"/>
      <c r="H119" s="81">
        <f>SUM(H116:H118)</f>
        <v>2483190.58</v>
      </c>
    </row>
    <row r="120" spans="2:7" ht="3.75" customHeight="1">
      <c r="B120" s="17"/>
      <c r="G120" s="214"/>
    </row>
    <row r="121" spans="1:8" s="19" customFormat="1" ht="27.75" customHeight="1" thickBot="1">
      <c r="A121" s="81" t="s">
        <v>296</v>
      </c>
      <c r="G121" s="161"/>
      <c r="H121" s="202">
        <f>H115-H119</f>
        <v>14795581.300000003</v>
      </c>
    </row>
    <row r="122" ht="17.25" customHeight="1" thickTop="1"/>
    <row r="123" spans="2:8" ht="36.75" customHeight="1">
      <c r="B123" s="17"/>
      <c r="C123" s="17"/>
      <c r="H123" s="205"/>
    </row>
    <row r="124" spans="2:8" ht="20.25">
      <c r="B124" s="17"/>
      <c r="C124" s="17"/>
      <c r="G124" s="81"/>
      <c r="H124" s="205"/>
    </row>
    <row r="125" spans="2:8" ht="12" customHeight="1">
      <c r="B125" s="17"/>
      <c r="C125" s="17"/>
      <c r="H125" s="205"/>
    </row>
    <row r="126" spans="2:8" ht="16.5" customHeight="1">
      <c r="B126" s="17"/>
      <c r="C126" s="17"/>
      <c r="H126" s="205"/>
    </row>
    <row r="127" spans="1:8" ht="24" customHeight="1">
      <c r="A127" s="149"/>
      <c r="C127" s="20"/>
      <c r="E127" s="149"/>
      <c r="G127" s="149"/>
      <c r="H127" s="205"/>
    </row>
    <row r="128" spans="1:8" ht="20.25">
      <c r="A128" s="84"/>
      <c r="C128" s="20"/>
      <c r="E128" s="84"/>
      <c r="G128" s="296"/>
      <c r="H128" s="296"/>
    </row>
    <row r="129" spans="1:8" ht="20.25">
      <c r="A129" s="84"/>
      <c r="B129" s="85"/>
      <c r="C129" s="20"/>
      <c r="E129" s="84"/>
      <c r="F129" s="85"/>
      <c r="G129" s="296"/>
      <c r="H129" s="296"/>
    </row>
    <row r="130" spans="1:3" ht="9.75" customHeight="1">
      <c r="A130" s="84"/>
      <c r="B130" s="85"/>
      <c r="C130" s="20"/>
    </row>
    <row r="131" spans="1:8" ht="20.25">
      <c r="A131" s="300"/>
      <c r="B131" s="300"/>
      <c r="C131" s="300"/>
      <c r="G131" s="206"/>
      <c r="H131" s="18"/>
    </row>
    <row r="132" spans="1:8" ht="20.25">
      <c r="A132" s="17"/>
      <c r="B132" s="17"/>
      <c r="C132" s="163"/>
      <c r="G132" s="17"/>
      <c r="H132" s="18"/>
    </row>
    <row r="133" spans="1:8" ht="14.25" customHeight="1">
      <c r="A133" s="17"/>
      <c r="B133" s="17"/>
      <c r="C133" s="163"/>
      <c r="G133" s="17"/>
      <c r="H133" s="18"/>
    </row>
    <row r="134" spans="1:8" ht="25.5" customHeight="1">
      <c r="A134" s="149"/>
      <c r="C134" s="20"/>
      <c r="E134" s="149"/>
      <c r="G134" s="149"/>
      <c r="H134" s="18"/>
    </row>
    <row r="135" spans="1:8" ht="22.5" customHeight="1">
      <c r="A135" s="296"/>
      <c r="B135" s="296"/>
      <c r="C135" s="296"/>
      <c r="D135" s="296"/>
      <c r="G135" s="296"/>
      <c r="H135" s="296"/>
    </row>
    <row r="136" spans="1:8" ht="22.5" customHeight="1">
      <c r="A136" s="296"/>
      <c r="B136" s="296"/>
      <c r="C136" s="296"/>
      <c r="D136" s="296"/>
      <c r="G136" s="324"/>
      <c r="H136" s="324"/>
    </row>
  </sheetData>
  <sheetProtection/>
  <mergeCells count="31">
    <mergeCell ref="A34:D34"/>
    <mergeCell ref="G34:H34"/>
    <mergeCell ref="A35:D35"/>
    <mergeCell ref="G35:H35"/>
    <mergeCell ref="A13:H13"/>
    <mergeCell ref="A1:H1"/>
    <mergeCell ref="A2:H2"/>
    <mergeCell ref="A3:H3"/>
    <mergeCell ref="A5:H5"/>
    <mergeCell ref="A71:H71"/>
    <mergeCell ref="A72:H72"/>
    <mergeCell ref="G88:H88"/>
    <mergeCell ref="G89:H89"/>
    <mergeCell ref="A38:H38"/>
    <mergeCell ref="A39:H39"/>
    <mergeCell ref="G128:H128"/>
    <mergeCell ref="A91:C91"/>
    <mergeCell ref="A95:D95"/>
    <mergeCell ref="G95:H95"/>
    <mergeCell ref="A96:D96"/>
    <mergeCell ref="G96:H96"/>
    <mergeCell ref="A136:D136"/>
    <mergeCell ref="G136:H136"/>
    <mergeCell ref="A106:G106"/>
    <mergeCell ref="B114:F114"/>
    <mergeCell ref="G129:H129"/>
    <mergeCell ref="A131:C131"/>
    <mergeCell ref="A135:D135"/>
    <mergeCell ref="G135:H135"/>
    <mergeCell ref="A107:H107"/>
    <mergeCell ref="A108:H108"/>
  </mergeCells>
  <printOptions/>
  <pageMargins left="0.7480314960629921" right="0.35433070866141736" top="0.7874015748031497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1.8515625" style="30" customWidth="1"/>
    <col min="2" max="2" width="13.8515625" style="31" customWidth="1"/>
    <col min="3" max="3" width="14.57421875" style="31" customWidth="1"/>
    <col min="4" max="4" width="12.421875" style="31" customWidth="1"/>
    <col min="5" max="5" width="13.7109375" style="31" customWidth="1"/>
    <col min="6" max="6" width="11.57421875" style="30" customWidth="1"/>
    <col min="7" max="7" width="9.140625" style="30" customWidth="1"/>
    <col min="8" max="8" width="10.00390625" style="30" bestFit="1" customWidth="1"/>
    <col min="9" max="16384" width="9.140625" style="30" customWidth="1"/>
  </cols>
  <sheetData>
    <row r="1" spans="3:6" ht="24.75" customHeight="1">
      <c r="C1" s="340" t="s">
        <v>358</v>
      </c>
      <c r="D1" s="340"/>
      <c r="E1" s="340"/>
      <c r="F1" s="340"/>
    </row>
    <row r="2" spans="3:6" ht="20.25" customHeight="1">
      <c r="C2" s="219"/>
      <c r="D2" s="219"/>
      <c r="E2" s="219"/>
      <c r="F2" s="219"/>
    </row>
    <row r="3" spans="1:6" ht="27" customHeight="1">
      <c r="A3" s="311" t="s">
        <v>98</v>
      </c>
      <c r="B3" s="311"/>
      <c r="C3" s="311"/>
      <c r="D3" s="311"/>
      <c r="E3" s="311"/>
      <c r="F3" s="311"/>
    </row>
    <row r="4" spans="1:6" ht="28.5" customHeight="1">
      <c r="A4" s="326" t="s">
        <v>18</v>
      </c>
      <c r="B4" s="326"/>
      <c r="C4" s="326"/>
      <c r="D4" s="326"/>
      <c r="E4" s="326"/>
      <c r="F4" s="326"/>
    </row>
    <row r="5" spans="1:6" ht="27.75" customHeight="1">
      <c r="A5" s="326" t="s">
        <v>308</v>
      </c>
      <c r="B5" s="326"/>
      <c r="C5" s="326"/>
      <c r="D5" s="326"/>
      <c r="E5" s="326"/>
      <c r="F5" s="326"/>
    </row>
    <row r="6" spans="1:6" ht="11.25" customHeight="1">
      <c r="A6" s="162"/>
      <c r="B6" s="162"/>
      <c r="C6" s="162"/>
      <c r="D6" s="162"/>
      <c r="E6" s="162"/>
      <c r="F6" s="162"/>
    </row>
    <row r="7" spans="1:6" s="157" customFormat="1" ht="25.5" customHeight="1">
      <c r="A7" s="125" t="s">
        <v>309</v>
      </c>
      <c r="B7" s="338" t="s">
        <v>0</v>
      </c>
      <c r="C7" s="339"/>
      <c r="D7" s="155" t="s">
        <v>310</v>
      </c>
      <c r="E7" s="155" t="s">
        <v>137</v>
      </c>
      <c r="F7" s="125" t="s">
        <v>100</v>
      </c>
    </row>
    <row r="8" spans="1:6" s="157" customFormat="1" ht="25.5" customHeight="1">
      <c r="A8" s="127"/>
      <c r="B8" s="154" t="s">
        <v>311</v>
      </c>
      <c r="C8" s="154" t="s">
        <v>312</v>
      </c>
      <c r="D8" s="154"/>
      <c r="E8" s="154"/>
      <c r="F8" s="127"/>
    </row>
    <row r="9" spans="1:6" ht="22.5" customHeight="1">
      <c r="A9" s="171"/>
      <c r="B9" s="194"/>
      <c r="C9" s="194"/>
      <c r="D9" s="194"/>
      <c r="E9" s="194"/>
      <c r="F9" s="171"/>
    </row>
    <row r="10" spans="1:8" ht="22.5" customHeight="1">
      <c r="A10" s="171" t="s">
        <v>321</v>
      </c>
      <c r="B10" s="194">
        <v>32560</v>
      </c>
      <c r="C10" s="194"/>
      <c r="D10" s="194">
        <v>13249.6</v>
      </c>
      <c r="E10" s="194">
        <v>19310.4</v>
      </c>
      <c r="F10" s="171"/>
      <c r="H10" s="39">
        <f>B10-E10</f>
        <v>13249.599999999999</v>
      </c>
    </row>
    <row r="11" spans="1:8" ht="22.5" customHeight="1">
      <c r="A11" s="171" t="s">
        <v>322</v>
      </c>
      <c r="B11" s="194">
        <v>70838.4</v>
      </c>
      <c r="C11" s="194"/>
      <c r="D11" s="194">
        <v>31799.04</v>
      </c>
      <c r="E11" s="194">
        <v>39039.36</v>
      </c>
      <c r="F11" s="171"/>
      <c r="H11" s="39">
        <f>B11-E11</f>
        <v>31799.039999999994</v>
      </c>
    </row>
    <row r="12" spans="1:6" ht="22.5" customHeight="1">
      <c r="A12" s="227" t="s">
        <v>323</v>
      </c>
      <c r="B12" s="194">
        <v>6600</v>
      </c>
      <c r="C12" s="194"/>
      <c r="D12" s="194">
        <v>0</v>
      </c>
      <c r="E12" s="194">
        <f>B12+C12-D12</f>
        <v>6600</v>
      </c>
      <c r="F12" s="171"/>
    </row>
    <row r="13" spans="1:6" ht="22.5" customHeight="1">
      <c r="A13" s="171" t="s">
        <v>324</v>
      </c>
      <c r="B13" s="194">
        <v>216900</v>
      </c>
      <c r="C13" s="194"/>
      <c r="D13" s="194">
        <v>0</v>
      </c>
      <c r="E13" s="194">
        <f>B13+C13-D13</f>
        <v>216900</v>
      </c>
      <c r="F13" s="171"/>
    </row>
    <row r="14" spans="1:6" ht="22.5" customHeight="1">
      <c r="A14" s="171"/>
      <c r="B14" s="194"/>
      <c r="C14" s="194"/>
      <c r="D14" s="194"/>
      <c r="E14" s="194"/>
      <c r="F14" s="220"/>
    </row>
    <row r="15" spans="1:6" s="77" customFormat="1" ht="27.75" customHeight="1" thickBot="1">
      <c r="A15" s="221" t="s">
        <v>44</v>
      </c>
      <c r="B15" s="222">
        <f>SUM(B9:B14)</f>
        <v>326898.4</v>
      </c>
      <c r="C15" s="222">
        <f>SUM(C9:C14)</f>
        <v>0</v>
      </c>
      <c r="D15" s="222">
        <f>SUM(D9:D14)</f>
        <v>45048.64</v>
      </c>
      <c r="E15" s="222">
        <f>SUM(E9:E14)</f>
        <v>281849.76</v>
      </c>
      <c r="F15" s="75"/>
    </row>
    <row r="16" ht="31.5" customHeight="1" thickTop="1"/>
    <row r="17" spans="1:5" ht="25.5" customHeight="1">
      <c r="A17" s="18"/>
      <c r="B17" s="18"/>
      <c r="C17" s="18"/>
      <c r="D17" s="18"/>
      <c r="E17" s="18"/>
    </row>
    <row r="18" spans="1:5" ht="24" customHeight="1">
      <c r="A18" s="18"/>
      <c r="B18" s="18"/>
      <c r="C18" s="148"/>
      <c r="D18" s="148"/>
      <c r="E18" s="18"/>
    </row>
    <row r="19" spans="1:5" ht="21" customHeight="1">
      <c r="A19" s="18"/>
      <c r="B19" s="18"/>
      <c r="C19" s="46"/>
      <c r="D19" s="46"/>
      <c r="E19" s="18"/>
    </row>
    <row r="20" spans="1:5" ht="27" customHeight="1">
      <c r="A20" s="149"/>
      <c r="B20" s="18"/>
      <c r="C20" s="320"/>
      <c r="D20" s="320"/>
      <c r="E20" s="320"/>
    </row>
    <row r="21" spans="1:5" ht="24" customHeight="1">
      <c r="A21" s="84"/>
      <c r="B21" s="18"/>
      <c r="C21" s="324"/>
      <c r="D21" s="324"/>
      <c r="E21" s="324"/>
    </row>
    <row r="22" spans="1:5" ht="24" customHeight="1">
      <c r="A22" s="84"/>
      <c r="B22" s="18"/>
      <c r="C22" s="324"/>
      <c r="D22" s="324"/>
      <c r="E22" s="324"/>
    </row>
    <row r="23" spans="1:5" ht="18" customHeight="1">
      <c r="A23" s="84"/>
      <c r="B23" s="18"/>
      <c r="C23" s="20"/>
      <c r="D23" s="18"/>
      <c r="E23" s="46"/>
    </row>
    <row r="24" spans="1:5" ht="24" customHeight="1">
      <c r="A24" s="18"/>
      <c r="B24" s="18"/>
      <c r="C24" s="319"/>
      <c r="D24" s="319"/>
      <c r="E24" s="18"/>
    </row>
    <row r="25" spans="1:5" ht="26.25" customHeight="1">
      <c r="A25" s="18"/>
      <c r="B25" s="18"/>
      <c r="C25" s="17"/>
      <c r="D25" s="17"/>
      <c r="E25" s="18"/>
    </row>
    <row r="26" spans="1:5" ht="26.25" customHeight="1">
      <c r="A26" s="149"/>
      <c r="B26" s="147"/>
      <c r="C26" s="320"/>
      <c r="D26" s="320"/>
      <c r="E26" s="320"/>
    </row>
    <row r="27" spans="1:5" ht="23.25" customHeight="1">
      <c r="A27" s="84"/>
      <c r="B27" s="18"/>
      <c r="C27" s="277"/>
      <c r="D27" s="277"/>
      <c r="E27" s="277"/>
    </row>
    <row r="28" spans="1:5" ht="23.25" customHeight="1">
      <c r="A28" s="151"/>
      <c r="B28" s="151"/>
      <c r="C28" s="277"/>
      <c r="D28" s="277"/>
      <c r="E28" s="277"/>
    </row>
  </sheetData>
  <sheetProtection/>
  <mergeCells count="12">
    <mergeCell ref="C1:F1"/>
    <mergeCell ref="A3:F3"/>
    <mergeCell ref="A4:F4"/>
    <mergeCell ref="A5:F5"/>
    <mergeCell ref="C24:D24"/>
    <mergeCell ref="C26:E26"/>
    <mergeCell ref="C27:E27"/>
    <mergeCell ref="C28:E28"/>
    <mergeCell ref="B7:C7"/>
    <mergeCell ref="C20:E20"/>
    <mergeCell ref="C21:E21"/>
    <mergeCell ref="C22:E22"/>
  </mergeCells>
  <printOptions/>
  <pageMargins left="0.5511811023622047" right="0.15748031496062992" top="0.7874015748031497" bottom="0.3937007874015748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8515625" style="0" customWidth="1"/>
    <col min="2" max="2" width="47.421875" style="0" customWidth="1"/>
    <col min="3" max="3" width="16.421875" style="0" customWidth="1"/>
    <col min="4" max="4" width="14.8515625" style="0" customWidth="1"/>
  </cols>
  <sheetData>
    <row r="2" spans="1:4" ht="19.5">
      <c r="A2" s="1"/>
      <c r="B2" s="343" t="s">
        <v>332</v>
      </c>
      <c r="C2" s="343"/>
      <c r="D2" s="343"/>
    </row>
    <row r="3" spans="1:4" ht="13.5" customHeight="1">
      <c r="A3" s="1"/>
      <c r="B3" s="219"/>
      <c r="C3" s="219"/>
      <c r="D3" s="219"/>
    </row>
    <row r="4" spans="1:4" ht="27" customHeight="1">
      <c r="A4" s="326" t="s">
        <v>98</v>
      </c>
      <c r="B4" s="326"/>
      <c r="C4" s="326"/>
      <c r="D4" s="326"/>
    </row>
    <row r="5" spans="1:4" ht="27" customHeight="1">
      <c r="A5" s="326" t="s">
        <v>313</v>
      </c>
      <c r="B5" s="326"/>
      <c r="C5" s="326"/>
      <c r="D5" s="326"/>
    </row>
    <row r="6" spans="1:4" ht="27" customHeight="1">
      <c r="A6" s="272" t="s">
        <v>314</v>
      </c>
      <c r="B6" s="272"/>
      <c r="C6" s="272"/>
      <c r="D6" s="272"/>
    </row>
    <row r="7" spans="1:4" ht="20.25">
      <c r="A7" s="157"/>
      <c r="B7" s="157"/>
      <c r="C7" s="157"/>
      <c r="D7" s="157"/>
    </row>
    <row r="8" spans="1:4" ht="20.25">
      <c r="A8" s="125" t="s">
        <v>315</v>
      </c>
      <c r="B8" s="125" t="s">
        <v>309</v>
      </c>
      <c r="C8" s="63" t="s">
        <v>0</v>
      </c>
      <c r="D8" s="125" t="s">
        <v>100</v>
      </c>
    </row>
    <row r="9" spans="1:10" ht="20.25">
      <c r="A9" s="127"/>
      <c r="B9" s="127"/>
      <c r="C9" s="154" t="s">
        <v>316</v>
      </c>
      <c r="D9" s="127"/>
      <c r="H9" s="223"/>
      <c r="I9" s="223"/>
      <c r="J9" s="223"/>
    </row>
    <row r="10" spans="1:10" ht="10.5" customHeight="1">
      <c r="A10" s="224"/>
      <c r="B10" s="224"/>
      <c r="C10" s="225"/>
      <c r="D10" s="224"/>
      <c r="H10" s="223"/>
      <c r="I10" s="41"/>
      <c r="J10" s="223"/>
    </row>
    <row r="11" spans="1:10" ht="18.75">
      <c r="A11" s="172" t="s">
        <v>326</v>
      </c>
      <c r="B11" s="228" t="s">
        <v>325</v>
      </c>
      <c r="C11" s="194">
        <v>410000</v>
      </c>
      <c r="D11" s="194" t="s">
        <v>317</v>
      </c>
      <c r="H11" s="223"/>
      <c r="I11" s="41"/>
      <c r="J11" s="223"/>
    </row>
    <row r="12" spans="1:10" ht="18.75">
      <c r="A12" s="172" t="s">
        <v>327</v>
      </c>
      <c r="B12" s="228" t="s">
        <v>325</v>
      </c>
      <c r="C12" s="194">
        <v>213000</v>
      </c>
      <c r="D12" s="194" t="s">
        <v>318</v>
      </c>
      <c r="H12" s="223"/>
      <c r="I12" s="41"/>
      <c r="J12" s="223"/>
    </row>
    <row r="13" spans="1:10" ht="18.75">
      <c r="A13" s="172" t="s">
        <v>328</v>
      </c>
      <c r="B13" s="228" t="s">
        <v>325</v>
      </c>
      <c r="C13" s="194">
        <v>95000</v>
      </c>
      <c r="D13" s="194" t="s">
        <v>319</v>
      </c>
      <c r="H13" s="223"/>
      <c r="I13" s="41"/>
      <c r="J13" s="223"/>
    </row>
    <row r="14" spans="1:4" ht="18.75">
      <c r="A14" s="172" t="s">
        <v>329</v>
      </c>
      <c r="B14" s="228" t="s">
        <v>325</v>
      </c>
      <c r="C14" s="194">
        <v>150000</v>
      </c>
      <c r="D14" s="194" t="s">
        <v>320</v>
      </c>
    </row>
    <row r="15" spans="1:4" ht="18.75">
      <c r="A15" s="172" t="s">
        <v>330</v>
      </c>
      <c r="B15" s="228" t="s">
        <v>325</v>
      </c>
      <c r="C15" s="194">
        <v>26100</v>
      </c>
      <c r="D15" s="229" t="s">
        <v>331</v>
      </c>
    </row>
    <row r="16" spans="1:4" ht="18">
      <c r="A16" s="224"/>
      <c r="B16" s="224"/>
      <c r="C16" s="225"/>
      <c r="D16" s="226"/>
    </row>
    <row r="17" spans="1:4" ht="28.5" customHeight="1" thickBot="1">
      <c r="A17" s="341" t="str">
        <f>"("&amp;_xlfn.BAHTTEXT(C17)&amp;")"</f>
        <v>(แปดแสนเก้าหมื่นสี่พันหนึ่งร้อยบาทถ้วน)</v>
      </c>
      <c r="B17" s="342"/>
      <c r="C17" s="222">
        <f>SUM(C9:C16)</f>
        <v>894100</v>
      </c>
      <c r="D17" s="75"/>
    </row>
    <row r="18" spans="1:4" ht="18.75" thickTop="1">
      <c r="A18" s="1"/>
      <c r="B18" s="1"/>
      <c r="C18" s="3"/>
      <c r="D18" s="1"/>
    </row>
    <row r="19" spans="1:4" ht="18">
      <c r="A19" s="1"/>
      <c r="B19" s="1"/>
      <c r="C19" s="3"/>
      <c r="D19" s="1"/>
    </row>
    <row r="20" spans="1:4" ht="18">
      <c r="A20" s="1"/>
      <c r="B20" s="1"/>
      <c r="C20" s="1"/>
      <c r="D20" s="1"/>
    </row>
    <row r="21" spans="1:4" ht="18">
      <c r="A21" s="1"/>
      <c r="B21" s="1"/>
      <c r="C21" s="1"/>
      <c r="D21" s="1"/>
    </row>
    <row r="22" spans="1:4" ht="18">
      <c r="A22" s="1"/>
      <c r="B22" s="1"/>
      <c r="C22" s="1"/>
      <c r="D22" s="1"/>
    </row>
    <row r="23" spans="1:4" ht="18">
      <c r="A23" s="1"/>
      <c r="B23" s="1"/>
      <c r="C23" s="1"/>
      <c r="D23" s="1"/>
    </row>
    <row r="24" spans="1:4" ht="18">
      <c r="A24" s="1"/>
      <c r="B24" s="1"/>
      <c r="C24" s="1"/>
      <c r="D24" s="1"/>
    </row>
    <row r="25" spans="1:4" ht="18">
      <c r="A25" s="1"/>
      <c r="B25" s="1"/>
      <c r="C25" s="1"/>
      <c r="D25" s="1"/>
    </row>
    <row r="26" spans="1:4" ht="18">
      <c r="A26" s="1"/>
      <c r="B26" s="1"/>
      <c r="C26" s="1"/>
      <c r="D26" s="1"/>
    </row>
    <row r="27" spans="1:4" ht="18">
      <c r="A27" s="1"/>
      <c r="B27" s="1"/>
      <c r="C27" s="1"/>
      <c r="D27" s="1"/>
    </row>
  </sheetData>
  <sheetProtection/>
  <mergeCells count="5">
    <mergeCell ref="A17:B17"/>
    <mergeCell ref="B2:D2"/>
    <mergeCell ref="A4:D4"/>
    <mergeCell ref="A5:D5"/>
    <mergeCell ref="A6:D6"/>
  </mergeCells>
  <printOptions/>
  <pageMargins left="0.7480314960629921" right="0.35433070866141736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C26" sqref="C26"/>
    </sheetView>
  </sheetViews>
  <sheetFormatPr defaultColWidth="9.140625" defaultRowHeight="12.75"/>
  <cols>
    <col min="1" max="1" width="23.28125" style="46" customWidth="1"/>
    <col min="2" max="3" width="13.57421875" style="158" customWidth="1"/>
    <col min="4" max="4" width="9.7109375" style="158" customWidth="1"/>
    <col min="5" max="6" width="9.140625" style="159" customWidth="1"/>
    <col min="7" max="8" width="8.421875" style="159" customWidth="1"/>
    <col min="9" max="9" width="9.140625" style="159" customWidth="1"/>
    <col min="10" max="11" width="8.7109375" style="159" customWidth="1"/>
    <col min="12" max="14" width="9.140625" style="159" customWidth="1"/>
    <col min="15" max="16384" width="9.140625" style="30" customWidth="1"/>
  </cols>
  <sheetData>
    <row r="1" spans="1:14" ht="21.75" customHeight="1">
      <c r="A1" s="343" t="s">
        <v>98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21.75" customHeight="1">
      <c r="A2" s="343" t="s">
        <v>333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ht="21.75" customHeight="1">
      <c r="A3" s="346" t="s">
        <v>270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9.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8.75">
      <c r="A5" s="344" t="s">
        <v>3</v>
      </c>
      <c r="B5" s="344" t="s">
        <v>26</v>
      </c>
      <c r="C5" s="344" t="s">
        <v>44</v>
      </c>
      <c r="D5" s="232" t="s">
        <v>334</v>
      </c>
      <c r="E5" s="233" t="s">
        <v>344</v>
      </c>
      <c r="F5" s="232" t="s">
        <v>335</v>
      </c>
      <c r="G5" s="232" t="s">
        <v>336</v>
      </c>
      <c r="H5" s="232" t="s">
        <v>346</v>
      </c>
      <c r="I5" s="232" t="s">
        <v>348</v>
      </c>
      <c r="J5" s="232" t="s">
        <v>350</v>
      </c>
      <c r="K5" s="232" t="s">
        <v>352</v>
      </c>
      <c r="L5" s="232" t="s">
        <v>337</v>
      </c>
      <c r="M5" s="232" t="s">
        <v>338</v>
      </c>
      <c r="N5" s="232" t="s">
        <v>15</v>
      </c>
    </row>
    <row r="6" spans="1:14" ht="18.75">
      <c r="A6" s="345"/>
      <c r="B6" s="345"/>
      <c r="C6" s="345"/>
      <c r="D6" s="230"/>
      <c r="E6" s="234" t="s">
        <v>345</v>
      </c>
      <c r="F6" s="230"/>
      <c r="G6" s="230"/>
      <c r="H6" s="230" t="s">
        <v>347</v>
      </c>
      <c r="I6" s="230" t="s">
        <v>349</v>
      </c>
      <c r="J6" s="230" t="s">
        <v>351</v>
      </c>
      <c r="K6" s="230" t="s">
        <v>353</v>
      </c>
      <c r="L6" s="230"/>
      <c r="M6" s="230"/>
      <c r="N6" s="230"/>
    </row>
    <row r="7" spans="1:14" ht="27" customHeight="1">
      <c r="A7" s="251" t="s">
        <v>39</v>
      </c>
      <c r="B7" s="231"/>
      <c r="C7" s="231"/>
      <c r="D7" s="231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20.25">
      <c r="A8" s="248" t="s">
        <v>15</v>
      </c>
      <c r="B8" s="249">
        <v>431000</v>
      </c>
      <c r="C8" s="249">
        <f>SUM(D8:N8)</f>
        <v>378335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>
        <v>378335</v>
      </c>
    </row>
    <row r="9" spans="1:14" ht="20.25">
      <c r="A9" s="245" t="s">
        <v>339</v>
      </c>
      <c r="B9" s="242">
        <v>0</v>
      </c>
      <c r="C9" s="242">
        <f aca="true" t="shared" si="0" ref="C9:C23">SUM(D9:N9)</f>
        <v>2914330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>
        <v>2914330</v>
      </c>
    </row>
    <row r="10" spans="1:14" ht="20.25">
      <c r="A10" s="244" t="s">
        <v>168</v>
      </c>
      <c r="B10" s="242">
        <v>1796900</v>
      </c>
      <c r="C10" s="242">
        <f t="shared" si="0"/>
        <v>1680377</v>
      </c>
      <c r="D10" s="243">
        <v>1680377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</row>
    <row r="11" spans="1:14" ht="20.25">
      <c r="A11" s="244" t="s">
        <v>171</v>
      </c>
      <c r="B11" s="242">
        <v>3807420</v>
      </c>
      <c r="C11" s="242">
        <f t="shared" si="0"/>
        <v>3721345</v>
      </c>
      <c r="D11" s="243">
        <f>2028581+904662</f>
        <v>2933243</v>
      </c>
      <c r="E11" s="243"/>
      <c r="F11" s="243">
        <v>283322</v>
      </c>
      <c r="G11" s="243"/>
      <c r="H11" s="243"/>
      <c r="I11" s="243">
        <v>396780</v>
      </c>
      <c r="J11" s="243"/>
      <c r="K11" s="243"/>
      <c r="L11" s="243">
        <v>108000</v>
      </c>
      <c r="M11" s="243"/>
      <c r="N11" s="243"/>
    </row>
    <row r="12" spans="1:14" ht="20.25">
      <c r="A12" s="245" t="s">
        <v>343</v>
      </c>
      <c r="B12" s="242">
        <v>0</v>
      </c>
      <c r="C12" s="242">
        <f t="shared" si="0"/>
        <v>288000</v>
      </c>
      <c r="D12" s="243"/>
      <c r="E12" s="243"/>
      <c r="F12" s="243">
        <v>288000</v>
      </c>
      <c r="G12" s="243"/>
      <c r="H12" s="243"/>
      <c r="I12" s="243"/>
      <c r="J12" s="243"/>
      <c r="K12" s="243"/>
      <c r="L12" s="243"/>
      <c r="M12" s="243"/>
      <c r="N12" s="243"/>
    </row>
    <row r="13" spans="1:14" ht="20.25">
      <c r="A13" s="244" t="s">
        <v>9</v>
      </c>
      <c r="B13" s="242">
        <v>1039600</v>
      </c>
      <c r="C13" s="242">
        <f t="shared" si="0"/>
        <v>1034902.5</v>
      </c>
      <c r="D13" s="243">
        <f>129650.5+11152+410000+213000</f>
        <v>763802.5</v>
      </c>
      <c r="E13" s="243"/>
      <c r="F13" s="243">
        <v>150000</v>
      </c>
      <c r="G13" s="243"/>
      <c r="H13" s="243"/>
      <c r="I13" s="243">
        <v>95000</v>
      </c>
      <c r="J13" s="243"/>
      <c r="K13" s="243"/>
      <c r="L13" s="243">
        <v>26100</v>
      </c>
      <c r="M13" s="243"/>
      <c r="N13" s="243"/>
    </row>
    <row r="14" spans="1:14" ht="20.25">
      <c r="A14" s="244" t="s">
        <v>10</v>
      </c>
      <c r="B14" s="242">
        <v>1180550</v>
      </c>
      <c r="C14" s="242">
        <f t="shared" si="0"/>
        <v>1106722.35</v>
      </c>
      <c r="D14" s="243">
        <f>307328.35+16886+6600</f>
        <v>330814.35</v>
      </c>
      <c r="E14" s="243">
        <v>42410</v>
      </c>
      <c r="F14" s="243">
        <f>20598+275840</f>
        <v>296438</v>
      </c>
      <c r="G14" s="243">
        <v>180</v>
      </c>
      <c r="H14" s="243"/>
      <c r="I14" s="243">
        <f>300+18600+10000</f>
        <v>28900</v>
      </c>
      <c r="J14" s="243">
        <f>241852</f>
        <v>241852</v>
      </c>
      <c r="K14" s="243">
        <f>28400+120100</f>
        <v>148500</v>
      </c>
      <c r="L14" s="243">
        <v>17628</v>
      </c>
      <c r="M14" s="243"/>
      <c r="N14" s="243"/>
    </row>
    <row r="15" spans="1:14" ht="20.25">
      <c r="A15" s="244" t="s">
        <v>11</v>
      </c>
      <c r="B15" s="242">
        <v>1123140</v>
      </c>
      <c r="C15" s="242">
        <f t="shared" si="0"/>
        <v>1078538.02</v>
      </c>
      <c r="D15" s="243">
        <f>181730.92+22945</f>
        <v>204675.92</v>
      </c>
      <c r="E15" s="243"/>
      <c r="F15" s="243">
        <f>3900+208021.64+58349.76</f>
        <v>270271.4</v>
      </c>
      <c r="G15" s="243">
        <v>2109</v>
      </c>
      <c r="H15" s="243"/>
      <c r="I15" s="243">
        <f>8012+379002.7+20000</f>
        <v>407014.7</v>
      </c>
      <c r="J15" s="243">
        <v>24540</v>
      </c>
      <c r="K15" s="243">
        <v>17922</v>
      </c>
      <c r="L15" s="243">
        <v>152005</v>
      </c>
      <c r="M15" s="243"/>
      <c r="N15" s="243"/>
    </row>
    <row r="16" spans="1:14" ht="20.25">
      <c r="A16" s="245" t="s">
        <v>342</v>
      </c>
      <c r="B16" s="242">
        <v>0</v>
      </c>
      <c r="C16" s="242">
        <f t="shared" si="0"/>
        <v>67995</v>
      </c>
      <c r="D16" s="243"/>
      <c r="E16" s="243"/>
      <c r="F16" s="243">
        <v>67995</v>
      </c>
      <c r="G16" s="243"/>
      <c r="H16" s="243"/>
      <c r="I16" s="243"/>
      <c r="J16" s="243"/>
      <c r="K16" s="243"/>
      <c r="L16" s="243"/>
      <c r="M16" s="243"/>
      <c r="N16" s="243"/>
    </row>
    <row r="17" spans="1:14" ht="20.25">
      <c r="A17" s="244" t="s">
        <v>12</v>
      </c>
      <c r="B17" s="242">
        <v>390140</v>
      </c>
      <c r="C17" s="242">
        <f t="shared" si="0"/>
        <v>378718.56</v>
      </c>
      <c r="D17" s="243">
        <f>124899.76+7414</f>
        <v>132313.76</v>
      </c>
      <c r="E17" s="243"/>
      <c r="F17" s="243"/>
      <c r="G17" s="243"/>
      <c r="H17" s="243"/>
      <c r="I17" s="243"/>
      <c r="J17" s="243"/>
      <c r="K17" s="243"/>
      <c r="L17" s="243">
        <v>91417.36</v>
      </c>
      <c r="M17" s="243">
        <v>154987.44</v>
      </c>
      <c r="N17" s="243"/>
    </row>
    <row r="18" spans="1:14" ht="20.25">
      <c r="A18" s="245" t="s">
        <v>340</v>
      </c>
      <c r="B18" s="242">
        <v>0</v>
      </c>
      <c r="C18" s="242">
        <f t="shared" si="0"/>
        <v>304682.33</v>
      </c>
      <c r="D18" s="243"/>
      <c r="E18" s="243"/>
      <c r="F18" s="243"/>
      <c r="G18" s="243"/>
      <c r="H18" s="243"/>
      <c r="I18" s="243"/>
      <c r="J18" s="243"/>
      <c r="K18" s="243"/>
      <c r="L18" s="243">
        <v>304682.33</v>
      </c>
      <c r="M18" s="243"/>
      <c r="N18" s="243"/>
    </row>
    <row r="19" spans="1:14" ht="20.25">
      <c r="A19" s="244" t="s">
        <v>13</v>
      </c>
      <c r="B19" s="242">
        <v>193200</v>
      </c>
      <c r="C19" s="242">
        <f t="shared" si="0"/>
        <v>104065.35</v>
      </c>
      <c r="D19" s="243">
        <f>60837.35</f>
        <v>60837.35</v>
      </c>
      <c r="E19" s="243"/>
      <c r="F19" s="243"/>
      <c r="G19" s="243"/>
      <c r="H19" s="243"/>
      <c r="I19" s="243"/>
      <c r="J19" s="243"/>
      <c r="K19" s="243"/>
      <c r="L19" s="243">
        <v>43228</v>
      </c>
      <c r="M19" s="243"/>
      <c r="N19" s="243"/>
    </row>
    <row r="20" spans="1:14" ht="20.25">
      <c r="A20" s="244" t="s">
        <v>14</v>
      </c>
      <c r="B20" s="242">
        <v>2277350</v>
      </c>
      <c r="C20" s="242">
        <f t="shared" si="0"/>
        <v>2220300</v>
      </c>
      <c r="D20" s="243">
        <v>216900</v>
      </c>
      <c r="E20" s="243"/>
      <c r="F20" s="243"/>
      <c r="G20" s="243"/>
      <c r="H20" s="243"/>
      <c r="I20" s="243">
        <f>2003400</f>
        <v>2003400</v>
      </c>
      <c r="J20" s="243"/>
      <c r="K20" s="243"/>
      <c r="L20" s="243"/>
      <c r="M20" s="243"/>
      <c r="N20" s="243"/>
    </row>
    <row r="21" spans="1:14" ht="20.25">
      <c r="A21" s="244" t="s">
        <v>16</v>
      </c>
      <c r="B21" s="242">
        <v>521000</v>
      </c>
      <c r="C21" s="242">
        <f t="shared" si="0"/>
        <v>521000</v>
      </c>
      <c r="D21" s="243"/>
      <c r="E21" s="243"/>
      <c r="F21" s="243">
        <v>408000</v>
      </c>
      <c r="G21" s="243">
        <v>90000</v>
      </c>
      <c r="H21" s="243">
        <v>23000</v>
      </c>
      <c r="I21" s="243"/>
      <c r="J21" s="243"/>
      <c r="K21" s="243"/>
      <c r="L21" s="243"/>
      <c r="M21" s="243"/>
      <c r="N21" s="243"/>
    </row>
    <row r="22" spans="1:14" ht="20.25">
      <c r="A22" s="245" t="s">
        <v>341</v>
      </c>
      <c r="B22" s="242">
        <v>0</v>
      </c>
      <c r="C22" s="242">
        <f t="shared" si="0"/>
        <v>30000</v>
      </c>
      <c r="D22" s="243"/>
      <c r="E22" s="243"/>
      <c r="F22" s="243"/>
      <c r="G22" s="243"/>
      <c r="H22" s="243"/>
      <c r="I22" s="243"/>
      <c r="J22" s="243">
        <v>30000</v>
      </c>
      <c r="K22" s="243"/>
      <c r="L22" s="243"/>
      <c r="M22" s="243"/>
      <c r="N22" s="243"/>
    </row>
    <row r="23" spans="1:14" ht="20.25">
      <c r="A23" s="246" t="s">
        <v>57</v>
      </c>
      <c r="B23" s="235">
        <v>739700</v>
      </c>
      <c r="C23" s="235">
        <f t="shared" si="0"/>
        <v>737834</v>
      </c>
      <c r="D23" s="236">
        <f>396508+151686</f>
        <v>548194</v>
      </c>
      <c r="E23" s="236"/>
      <c r="F23" s="236">
        <v>116286</v>
      </c>
      <c r="G23" s="236"/>
      <c r="H23" s="236"/>
      <c r="I23" s="236">
        <v>57868</v>
      </c>
      <c r="J23" s="236"/>
      <c r="K23" s="236"/>
      <c r="L23" s="236">
        <v>15486</v>
      </c>
      <c r="M23" s="236"/>
      <c r="N23" s="236"/>
    </row>
    <row r="24" spans="1:14" ht="27.75" customHeight="1" thickBot="1">
      <c r="A24" s="247" t="s">
        <v>44</v>
      </c>
      <c r="B24" s="262">
        <f>SUM(B8:B23)</f>
        <v>13500000</v>
      </c>
      <c r="C24" s="262">
        <f aca="true" t="shared" si="1" ref="C24:N24">SUM(C8:C23)</f>
        <v>16567145.11</v>
      </c>
      <c r="D24" s="237">
        <f t="shared" si="1"/>
        <v>6871157.879999999</v>
      </c>
      <c r="E24" s="237">
        <f t="shared" si="1"/>
        <v>42410</v>
      </c>
      <c r="F24" s="237">
        <f t="shared" si="1"/>
        <v>1880312.4</v>
      </c>
      <c r="G24" s="237">
        <f t="shared" si="1"/>
        <v>92289</v>
      </c>
      <c r="H24" s="237">
        <f t="shared" si="1"/>
        <v>23000</v>
      </c>
      <c r="I24" s="237">
        <f t="shared" si="1"/>
        <v>2988962.7</v>
      </c>
      <c r="J24" s="237">
        <f t="shared" si="1"/>
        <v>296392</v>
      </c>
      <c r="K24" s="237">
        <f t="shared" si="1"/>
        <v>166422</v>
      </c>
      <c r="L24" s="237">
        <f t="shared" si="1"/>
        <v>758546.69</v>
      </c>
      <c r="M24" s="237">
        <f t="shared" si="1"/>
        <v>154987.44</v>
      </c>
      <c r="N24" s="237">
        <f t="shared" si="1"/>
        <v>3292665</v>
      </c>
    </row>
    <row r="25" ht="21" thickTop="1">
      <c r="A25" s="191"/>
    </row>
    <row r="26" ht="20.25">
      <c r="A26" s="191"/>
    </row>
    <row r="27" ht="20.25">
      <c r="A27" s="191"/>
    </row>
    <row r="28" ht="20.25">
      <c r="A28" s="191"/>
    </row>
    <row r="29" ht="20.25">
      <c r="A29" s="191"/>
    </row>
    <row r="30" spans="1:14" ht="20.25">
      <c r="A30" s="347" t="s">
        <v>149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ht="20.25">
      <c r="A31" s="191"/>
    </row>
    <row r="32" spans="1:14" ht="18.75">
      <c r="A32" s="344" t="s">
        <v>3</v>
      </c>
      <c r="B32" s="344" t="s">
        <v>26</v>
      </c>
      <c r="C32" s="344" t="s">
        <v>44</v>
      </c>
      <c r="D32" s="232" t="s">
        <v>334</v>
      </c>
      <c r="E32" s="233" t="s">
        <v>344</v>
      </c>
      <c r="F32" s="232" t="s">
        <v>335</v>
      </c>
      <c r="G32" s="232" t="s">
        <v>336</v>
      </c>
      <c r="H32" s="232" t="s">
        <v>346</v>
      </c>
      <c r="I32" s="232" t="s">
        <v>348</v>
      </c>
      <c r="J32" s="232" t="s">
        <v>350</v>
      </c>
      <c r="K32" s="232" t="s">
        <v>352</v>
      </c>
      <c r="L32" s="232" t="s">
        <v>337</v>
      </c>
      <c r="M32" s="232" t="s">
        <v>338</v>
      </c>
      <c r="N32" s="232" t="s">
        <v>15</v>
      </c>
    </row>
    <row r="33" spans="1:14" ht="18.75">
      <c r="A33" s="345"/>
      <c r="B33" s="345"/>
      <c r="C33" s="345"/>
      <c r="D33" s="230"/>
      <c r="E33" s="234" t="s">
        <v>345</v>
      </c>
      <c r="F33" s="230"/>
      <c r="G33" s="230"/>
      <c r="H33" s="230" t="s">
        <v>347</v>
      </c>
      <c r="I33" s="230" t="s">
        <v>349</v>
      </c>
      <c r="J33" s="230" t="s">
        <v>351</v>
      </c>
      <c r="K33" s="230" t="s">
        <v>353</v>
      </c>
      <c r="L33" s="230"/>
      <c r="M33" s="230"/>
      <c r="N33" s="230"/>
    </row>
    <row r="34" spans="2:14" ht="7.5" customHeight="1">
      <c r="B34" s="235"/>
      <c r="C34" s="235"/>
      <c r="D34" s="235"/>
      <c r="E34" s="236"/>
      <c r="F34" s="236"/>
      <c r="G34" s="236"/>
      <c r="H34" s="236"/>
      <c r="I34" s="236"/>
      <c r="J34" s="236"/>
      <c r="K34" s="236"/>
      <c r="L34" s="236"/>
      <c r="M34" s="236"/>
      <c r="N34" s="236"/>
    </row>
    <row r="35" spans="1:14" ht="19.5">
      <c r="A35" s="261" t="s">
        <v>17</v>
      </c>
      <c r="B35" s="235"/>
      <c r="C35" s="235"/>
      <c r="D35" s="235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  <row r="36" spans="1:14" ht="20.25">
      <c r="A36" s="260" t="s">
        <v>31</v>
      </c>
      <c r="B36" s="249">
        <v>202000</v>
      </c>
      <c r="C36" s="249">
        <f>'งบรายรับ-รายจ่าย'!C8</f>
        <v>177347.74</v>
      </c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ht="20.25">
      <c r="A37" s="253" t="s">
        <v>271</v>
      </c>
      <c r="B37" s="242">
        <v>42100</v>
      </c>
      <c r="C37" s="242">
        <f>'งบรายรับ-รายจ่าย'!C9</f>
        <v>32555.2</v>
      </c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</row>
    <row r="38" spans="1:14" ht="20.25">
      <c r="A38" s="252" t="s">
        <v>32</v>
      </c>
      <c r="B38" s="254">
        <v>150000</v>
      </c>
      <c r="C38" s="242">
        <f>'งบรายรับ-รายจ่าย'!C10</f>
        <v>281491.75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  <row r="39" spans="1:14" ht="20.25">
      <c r="A39" s="253" t="s">
        <v>33</v>
      </c>
      <c r="B39" s="254">
        <v>0</v>
      </c>
      <c r="C39" s="242">
        <v>0</v>
      </c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</row>
    <row r="40" spans="1:14" ht="20.25">
      <c r="A40" s="252" t="s">
        <v>34</v>
      </c>
      <c r="B40" s="254">
        <v>120000</v>
      </c>
      <c r="C40" s="242">
        <f>'งบรายรับ-รายจ่าย'!C12</f>
        <v>68270</v>
      </c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</row>
    <row r="41" spans="1:14" ht="20.25">
      <c r="A41" s="255" t="s">
        <v>35</v>
      </c>
      <c r="B41" s="254">
        <v>14000</v>
      </c>
      <c r="C41" s="242">
        <f>'งบรายรับ-รายจ่าย'!C13</f>
        <v>0</v>
      </c>
      <c r="D41" s="242"/>
      <c r="E41" s="243"/>
      <c r="F41" s="243"/>
      <c r="G41" s="243"/>
      <c r="H41" s="243"/>
      <c r="I41" s="243"/>
      <c r="J41" s="243"/>
      <c r="K41" s="243"/>
      <c r="L41" s="243"/>
      <c r="M41" s="243"/>
      <c r="N41" s="243"/>
    </row>
    <row r="42" spans="1:14" ht="20.25">
      <c r="A42" s="252" t="s">
        <v>36</v>
      </c>
      <c r="B42" s="254">
        <v>8971900</v>
      </c>
      <c r="C42" s="242">
        <f>'งบรายรับ-รายจ่าย'!C14</f>
        <v>11537848.42</v>
      </c>
      <c r="D42" s="242"/>
      <c r="E42" s="243"/>
      <c r="F42" s="243"/>
      <c r="G42" s="243"/>
      <c r="H42" s="243"/>
      <c r="I42" s="243"/>
      <c r="J42" s="243"/>
      <c r="K42" s="243"/>
      <c r="L42" s="243"/>
      <c r="M42" s="243"/>
      <c r="N42" s="243"/>
    </row>
    <row r="43" spans="1:14" ht="20.25">
      <c r="A43" s="252" t="s">
        <v>208</v>
      </c>
      <c r="B43" s="254">
        <v>4000000</v>
      </c>
      <c r="C43" s="242">
        <f>'งบรายรับ-รายจ่าย'!C15</f>
        <v>3997387</v>
      </c>
      <c r="D43" s="242"/>
      <c r="E43" s="243"/>
      <c r="F43" s="243"/>
      <c r="G43" s="243"/>
      <c r="H43" s="243"/>
      <c r="I43" s="243"/>
      <c r="J43" s="243"/>
      <c r="K43" s="243"/>
      <c r="L43" s="243"/>
      <c r="M43" s="243"/>
      <c r="N43" s="243"/>
    </row>
    <row r="44" spans="1:14" ht="20.25">
      <c r="A44" s="256" t="s">
        <v>354</v>
      </c>
      <c r="B44" s="257">
        <v>0</v>
      </c>
      <c r="C44" s="258">
        <f>'งบรายรับ-รายจ่าย'!C17</f>
        <v>3777234.24</v>
      </c>
      <c r="D44" s="258"/>
      <c r="E44" s="259"/>
      <c r="F44" s="259"/>
      <c r="G44" s="259"/>
      <c r="H44" s="259"/>
      <c r="I44" s="259"/>
      <c r="J44" s="259"/>
      <c r="K44" s="259"/>
      <c r="L44" s="259"/>
      <c r="M44" s="259"/>
      <c r="N44" s="259"/>
    </row>
    <row r="45" spans="1:14" ht="27" customHeight="1" thickBot="1">
      <c r="A45" s="238" t="s">
        <v>37</v>
      </c>
      <c r="B45" s="262">
        <f>SUM(B36:B44)</f>
        <v>13500000</v>
      </c>
      <c r="C45" s="262">
        <f>SUM(C36:C44)</f>
        <v>19872134.35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</row>
    <row r="46" spans="1:3" ht="29.25" customHeight="1" thickBot="1" thickTop="1">
      <c r="A46" s="265" t="s">
        <v>355</v>
      </c>
      <c r="C46" s="263">
        <f>C45-C24</f>
        <v>3304989.240000002</v>
      </c>
    </row>
    <row r="47" ht="19.5" thickTop="1"/>
    <row r="51" spans="2:6" ht="18.75">
      <c r="B51" s="52" t="s">
        <v>274</v>
      </c>
      <c r="C51" s="52"/>
      <c r="D51" s="52"/>
      <c r="E51" s="52"/>
      <c r="F51" s="52"/>
    </row>
    <row r="52" spans="2:6" ht="18.75">
      <c r="B52" s="53" t="s">
        <v>275</v>
      </c>
      <c r="C52" s="53"/>
      <c r="D52" s="53"/>
      <c r="E52" s="53"/>
      <c r="F52" s="53"/>
    </row>
    <row r="53" spans="2:6" ht="18.75">
      <c r="B53" s="52" t="s">
        <v>276</v>
      </c>
      <c r="C53" s="52"/>
      <c r="D53" s="52"/>
      <c r="E53" s="52"/>
      <c r="F53" s="52"/>
    </row>
  </sheetData>
  <sheetProtection/>
  <mergeCells count="10">
    <mergeCell ref="A32:A33"/>
    <mergeCell ref="B32:B33"/>
    <mergeCell ref="C32:C33"/>
    <mergeCell ref="A1:N1"/>
    <mergeCell ref="A2:N2"/>
    <mergeCell ref="A3:N3"/>
    <mergeCell ref="A30:N30"/>
    <mergeCell ref="A5:A6"/>
    <mergeCell ref="B5:B6"/>
    <mergeCell ref="C5:C6"/>
  </mergeCells>
  <printOptions/>
  <pageMargins left="0.7480314960629921" right="0.15748031496062992" top="0.5905511811023623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08"/>
  <sheetViews>
    <sheetView view="pageBreakPreview" zoomScaleSheetLayoutView="100" zoomScalePageLayoutView="0" workbookViewId="0" topLeftCell="A87">
      <selection activeCell="G82" sqref="G82"/>
    </sheetView>
  </sheetViews>
  <sheetFormatPr defaultColWidth="9.140625" defaultRowHeight="21.75" customHeight="1"/>
  <cols>
    <col min="1" max="2" width="19.28125" style="17" customWidth="1"/>
    <col min="3" max="3" width="37.28125" style="18" customWidth="1"/>
    <col min="4" max="4" width="9.421875" style="18" customWidth="1"/>
    <col min="5" max="5" width="18.28125" style="17" customWidth="1"/>
    <col min="6" max="6" width="15.00390625" style="18" customWidth="1"/>
    <col min="7" max="7" width="14.8515625" style="17" customWidth="1"/>
    <col min="8" max="8" width="15.28125" style="18" customWidth="1"/>
    <col min="9" max="9" width="12.7109375" style="18" customWidth="1"/>
    <col min="10" max="16384" width="9.140625" style="18" customWidth="1"/>
  </cols>
  <sheetData>
    <row r="5" spans="1:2" ht="21.75" customHeight="1">
      <c r="A5" s="292" t="s">
        <v>1</v>
      </c>
      <c r="B5" s="292"/>
    </row>
    <row r="6" spans="1:5" ht="21.75" customHeight="1">
      <c r="A6" s="292" t="s">
        <v>49</v>
      </c>
      <c r="B6" s="292"/>
      <c r="D6" s="293" t="s">
        <v>198</v>
      </c>
      <c r="E6" s="293"/>
    </row>
    <row r="7" ht="21.75" customHeight="1">
      <c r="C7" s="19" t="s">
        <v>38</v>
      </c>
    </row>
    <row r="8" spans="3:5" ht="21.75" customHeight="1" thickBot="1">
      <c r="C8" s="20" t="s">
        <v>24</v>
      </c>
      <c r="D8" s="294" t="s">
        <v>199</v>
      </c>
      <c r="E8" s="295"/>
    </row>
    <row r="9" spans="1:5" ht="21.75" customHeight="1" thickBot="1">
      <c r="A9" s="280" t="s">
        <v>25</v>
      </c>
      <c r="B9" s="281"/>
      <c r="C9" s="282" t="s">
        <v>3</v>
      </c>
      <c r="D9" s="284" t="s">
        <v>28</v>
      </c>
      <c r="E9" s="15" t="s">
        <v>29</v>
      </c>
    </row>
    <row r="10" spans="1:5" ht="21.75" customHeight="1" thickBot="1">
      <c r="A10" s="21" t="s">
        <v>26</v>
      </c>
      <c r="B10" s="15" t="s">
        <v>27</v>
      </c>
      <c r="C10" s="283"/>
      <c r="D10" s="285"/>
      <c r="E10" s="15" t="s">
        <v>27</v>
      </c>
    </row>
    <row r="11" spans="1:5" ht="21.75" customHeight="1">
      <c r="A11" s="7"/>
      <c r="B11" s="7">
        <v>20733159.62</v>
      </c>
      <c r="C11" s="18" t="s">
        <v>30</v>
      </c>
      <c r="D11" s="6"/>
      <c r="E11" s="7">
        <v>26030654.43</v>
      </c>
    </row>
    <row r="12" spans="1:5" ht="21.75" customHeight="1">
      <c r="A12" s="9"/>
      <c r="B12" s="9"/>
      <c r="C12" s="18" t="s">
        <v>51</v>
      </c>
      <c r="D12" s="8"/>
      <c r="E12" s="9"/>
    </row>
    <row r="13" spans="1:5" ht="21.75" customHeight="1">
      <c r="A13" s="9">
        <f>150000+50000+2000</f>
        <v>202000</v>
      </c>
      <c r="B13" s="9">
        <f>223.92+1334.82+731.94+25860.09+42363.32+51562.52+36047.71+4947.99+4157.08+3776.73+5870.01+471.61</f>
        <v>177347.73999999996</v>
      </c>
      <c r="C13" s="18" t="s">
        <v>31</v>
      </c>
      <c r="D13" s="8" t="s">
        <v>200</v>
      </c>
      <c r="E13" s="9">
        <f>'[1]ทะเบียนรายรับ'!F6+'[1]ทะเบียนรายรับ'!F7+'[1]ทะเบียนรายรับ'!F8</f>
        <v>471.61</v>
      </c>
    </row>
    <row r="14" spans="1:5" ht="21.75" customHeight="1">
      <c r="A14" s="9">
        <v>42100</v>
      </c>
      <c r="B14" s="9">
        <f>57+279+598.5+100+1972.4+27771.4+481.5+527.5+300+150+67.5+250.4</f>
        <v>32555.200000000004</v>
      </c>
      <c r="C14" s="18" t="s">
        <v>201</v>
      </c>
      <c r="D14" s="8" t="s">
        <v>202</v>
      </c>
      <c r="E14" s="9">
        <f>'[1]ทะเบียนรายรับ'!F9+'[1]ทะเบียนรายรับ'!F10+'[1]ทะเบียนรายรับ'!F11+'[1]ทะเบียนรายรับ'!F12+'[1]ทะเบียนรายรับ'!F13+'[1]ทะเบียนรายรับ'!F14+'[1]ทะเบียนรายรับ'!F15+'[1]ทะเบียนรายรับ'!F16</f>
        <v>250.4</v>
      </c>
    </row>
    <row r="15" spans="1:5" ht="21.75" customHeight="1">
      <c r="A15" s="9">
        <v>150000</v>
      </c>
      <c r="B15" s="9">
        <f>78918.39+19472.34+19006.44+63668.38+98582.55+1843.65</f>
        <v>281491.75</v>
      </c>
      <c r="C15" s="18" t="s">
        <v>32</v>
      </c>
      <c r="D15" s="8" t="s">
        <v>203</v>
      </c>
      <c r="E15" s="9">
        <f>'[1]ทะเบียนรายรับ'!F17</f>
        <v>1843.65</v>
      </c>
    </row>
    <row r="16" spans="1:7" ht="21.75" customHeight="1">
      <c r="A16" s="9">
        <v>0</v>
      </c>
      <c r="B16" s="9">
        <v>0</v>
      </c>
      <c r="C16" s="18" t="s">
        <v>33</v>
      </c>
      <c r="D16" s="8" t="s">
        <v>204</v>
      </c>
      <c r="E16" s="9">
        <v>0</v>
      </c>
      <c r="G16" s="17">
        <f>B13+B14+B15+B17</f>
        <v>559664.69</v>
      </c>
    </row>
    <row r="17" spans="1:5" ht="21.75" customHeight="1">
      <c r="A17" s="9">
        <v>120000</v>
      </c>
      <c r="B17" s="9">
        <f>110+44000+1630+4500+18010+20</f>
        <v>68270</v>
      </c>
      <c r="C17" s="18" t="s">
        <v>34</v>
      </c>
      <c r="D17" s="8" t="s">
        <v>205</v>
      </c>
      <c r="E17" s="9">
        <f>'[1]ทะเบียนรายรับ'!F18+'[1]ทะเบียนรายรับ'!F19</f>
        <v>20</v>
      </c>
    </row>
    <row r="18" spans="1:5" ht="21.75" customHeight="1">
      <c r="A18" s="9">
        <v>14000</v>
      </c>
      <c r="B18" s="9">
        <v>0</v>
      </c>
      <c r="C18" s="18" t="s">
        <v>35</v>
      </c>
      <c r="D18" s="8" t="s">
        <v>206</v>
      </c>
      <c r="E18" s="9">
        <f>'[1]ทะเบียนรายรับ'!F20</f>
        <v>0</v>
      </c>
    </row>
    <row r="19" spans="1:5" ht="21.75" customHeight="1">
      <c r="A19" s="9">
        <v>8971900</v>
      </c>
      <c r="B19" s="9">
        <f>261756.24+1619014.27+719535.56+239847.1+1725974.2+784691.17+1187284.12+303678.04+1791295.22+1099690.46+903300.13+901781.91</f>
        <v>11537848.42</v>
      </c>
      <c r="C19" s="18" t="s">
        <v>36</v>
      </c>
      <c r="D19" s="8" t="s">
        <v>207</v>
      </c>
      <c r="E19" s="9">
        <f>'[1]ทะเบียนรายรับ'!F21+'[1]ทะเบียนรายรับ'!F22+'[1]ทะเบียนรายรับ'!F23+'[1]ทะเบียนรายรับ'!F24+'[1]ทะเบียนรายรับ'!F25+'[1]ทะเบียนรายรับ'!F26+'[1]ทะเบียนรายรับ'!F27+'[1]ทะเบียนรายรับ'!F28+'[1]ทะเบียนรายรับ'!F29</f>
        <v>901781.91</v>
      </c>
    </row>
    <row r="20" spans="1:8" ht="21.75" customHeight="1">
      <c r="A20" s="9">
        <v>4000000</v>
      </c>
      <c r="B20" s="9">
        <f>3518686+382000+96701</f>
        <v>3997387</v>
      </c>
      <c r="C20" s="18" t="s">
        <v>208</v>
      </c>
      <c r="D20" s="8" t="s">
        <v>209</v>
      </c>
      <c r="E20" s="9">
        <f>'[1]ทะเบียนรายรับ'!F30</f>
        <v>96701</v>
      </c>
      <c r="H20" s="22">
        <f>G20-G21</f>
        <v>-12097513.11</v>
      </c>
    </row>
    <row r="21" spans="1:7" ht="21.75" customHeight="1" thickBot="1">
      <c r="A21" s="23">
        <f>SUM(A13:A20)</f>
        <v>13500000</v>
      </c>
      <c r="B21" s="23">
        <f>SUM(B13:B20)</f>
        <v>16094900.11</v>
      </c>
      <c r="D21" s="8"/>
      <c r="E21" s="23">
        <f>SUM(E13:E20)</f>
        <v>1001068.5700000001</v>
      </c>
      <c r="G21" s="17">
        <f>B21-B20</f>
        <v>12097513.11</v>
      </c>
    </row>
    <row r="22" spans="1:5" ht="21.75" customHeight="1" thickTop="1">
      <c r="A22" s="24"/>
      <c r="B22" s="9">
        <f>1303800-13200+1283400-5800</f>
        <v>2568200</v>
      </c>
      <c r="C22" s="18" t="s">
        <v>210</v>
      </c>
      <c r="D22" s="8" t="s">
        <v>211</v>
      </c>
      <c r="E22" s="9">
        <v>-5800</v>
      </c>
    </row>
    <row r="23" spans="1:5" ht="21.75" customHeight="1">
      <c r="A23" s="24"/>
      <c r="B23" s="9">
        <f>171000+171000-1000</f>
        <v>341000</v>
      </c>
      <c r="C23" s="18" t="s">
        <v>212</v>
      </c>
      <c r="D23" s="8" t="s">
        <v>211</v>
      </c>
      <c r="E23" s="9">
        <v>-1000</v>
      </c>
    </row>
    <row r="24" spans="2:5" ht="21.75" customHeight="1">
      <c r="B24" s="9">
        <f>60000+15000+15000+30000+15000+45000</f>
        <v>180000</v>
      </c>
      <c r="C24" s="18" t="s">
        <v>213</v>
      </c>
      <c r="D24" s="8" t="s">
        <v>211</v>
      </c>
      <c r="E24" s="9">
        <f>'[1]ทะเบียนรายรับ'!F33</f>
        <v>45000</v>
      </c>
    </row>
    <row r="25" spans="2:5" ht="21.75" customHeight="1">
      <c r="B25" s="9">
        <f>36000+9000+9000+18000+9000+27000</f>
        <v>108000</v>
      </c>
      <c r="C25" s="18" t="s">
        <v>214</v>
      </c>
      <c r="D25" s="8" t="s">
        <v>211</v>
      </c>
      <c r="E25" s="9">
        <f>'[1]ทะเบียนรายรับ'!F34</f>
        <v>27000</v>
      </c>
    </row>
    <row r="26" spans="2:7" ht="21.75" customHeight="1">
      <c r="B26" s="9">
        <f>1530+450+450+900+450+1350</f>
        <v>5130</v>
      </c>
      <c r="C26" s="25" t="s">
        <v>215</v>
      </c>
      <c r="D26" s="8" t="s">
        <v>211</v>
      </c>
      <c r="E26" s="9">
        <f>'[1]ทะเบียนรายรับ'!F35</f>
        <v>1350</v>
      </c>
      <c r="G26" s="17">
        <f>E21+E22+E23+E24+E25+E26+E27+E29</f>
        <v>1097618.57</v>
      </c>
    </row>
    <row r="27" spans="2:8" ht="21.75" customHeight="1">
      <c r="B27" s="9">
        <v>67995</v>
      </c>
      <c r="C27" s="25" t="s">
        <v>216</v>
      </c>
      <c r="D27" s="8" t="s">
        <v>211</v>
      </c>
      <c r="E27" s="9">
        <v>0</v>
      </c>
      <c r="H27" s="22">
        <f>B21-B20</f>
        <v>12097513.11</v>
      </c>
    </row>
    <row r="28" spans="2:7" ht="21" customHeight="1">
      <c r="B28" s="9">
        <v>476909.24</v>
      </c>
      <c r="C28" s="25" t="s">
        <v>217</v>
      </c>
      <c r="D28" s="8" t="s">
        <v>211</v>
      </c>
      <c r="E28" s="9">
        <v>0</v>
      </c>
      <c r="G28" s="17" t="e">
        <f>E21+#REF!</f>
        <v>#REF!</v>
      </c>
    </row>
    <row r="29" spans="2:5" ht="21.75" customHeight="1">
      <c r="B29" s="9">
        <v>30000</v>
      </c>
      <c r="C29" s="25" t="s">
        <v>218</v>
      </c>
      <c r="D29" s="8" t="s">
        <v>211</v>
      </c>
      <c r="E29" s="9">
        <v>30000</v>
      </c>
    </row>
    <row r="30" spans="2:5" ht="21.75" customHeight="1" hidden="1">
      <c r="B30" s="9">
        <f>0</f>
        <v>0</v>
      </c>
      <c r="C30" s="18" t="s">
        <v>219</v>
      </c>
      <c r="D30" s="8" t="s">
        <v>211</v>
      </c>
      <c r="E30" s="9">
        <v>0</v>
      </c>
    </row>
    <row r="31" spans="2:5" ht="21.75" customHeight="1" hidden="1">
      <c r="B31" s="9">
        <v>0</v>
      </c>
      <c r="C31" s="18" t="s">
        <v>54</v>
      </c>
      <c r="D31" s="8" t="s">
        <v>195</v>
      </c>
      <c r="E31" s="9">
        <v>0</v>
      </c>
    </row>
    <row r="32" spans="2:8" ht="21.75" customHeight="1">
      <c r="B32" s="9">
        <f>47016.18+47546.88+46825.88+91809.69+117194.26+81229.52+74574.16+103630.98+184925+105436.87+106049.41+184825.33</f>
        <v>1191064.1600000001</v>
      </c>
      <c r="C32" s="18" t="s">
        <v>46</v>
      </c>
      <c r="D32" s="8" t="s">
        <v>197</v>
      </c>
      <c r="E32" s="9">
        <f>'[1]หมายเหตุ 2'!B19</f>
        <v>184825.33</v>
      </c>
      <c r="F32" s="22">
        <f>SUM(B22:B30)</f>
        <v>3777234.24</v>
      </c>
      <c r="G32" s="17">
        <f>B21+F32</f>
        <v>19872134.35</v>
      </c>
      <c r="H32" s="17"/>
    </row>
    <row r="33" spans="2:6" ht="21.75" customHeight="1">
      <c r="B33" s="9">
        <f>94600+14500+24000+31000+13800+8000+9000+20500+103350</f>
        <v>318750</v>
      </c>
      <c r="C33" s="18" t="s">
        <v>7</v>
      </c>
      <c r="D33" s="8" t="s">
        <v>162</v>
      </c>
      <c r="E33" s="9">
        <f>62550+3000+3000+7200+14100+13500</f>
        <v>103350</v>
      </c>
      <c r="F33" s="22"/>
    </row>
    <row r="34" spans="2:8" ht="21.75" customHeight="1">
      <c r="B34" s="9">
        <f>640+734400+620+242400+73410+193400+84500+84500+82500+81000+78800+132680</f>
        <v>1788850</v>
      </c>
      <c r="C34" s="18" t="s">
        <v>68</v>
      </c>
      <c r="D34" s="8" t="s">
        <v>163</v>
      </c>
      <c r="E34" s="9">
        <f>127700+4980</f>
        <v>132680</v>
      </c>
      <c r="H34" s="22"/>
    </row>
    <row r="35" spans="2:6" ht="21.75" customHeight="1">
      <c r="B35" s="9">
        <v>209.36</v>
      </c>
      <c r="C35" s="18" t="s">
        <v>164</v>
      </c>
      <c r="D35" s="8" t="s">
        <v>165</v>
      </c>
      <c r="E35" s="9">
        <v>0</v>
      </c>
      <c r="F35" s="22"/>
    </row>
    <row r="36" spans="2:8" ht="21.75" customHeight="1">
      <c r="B36" s="9">
        <v>0</v>
      </c>
      <c r="C36" s="18" t="s">
        <v>67</v>
      </c>
      <c r="D36" s="8" t="s">
        <v>220</v>
      </c>
      <c r="E36" s="9">
        <v>0</v>
      </c>
      <c r="G36" s="17">
        <f>17500+3000+550</f>
        <v>21050</v>
      </c>
      <c r="H36" s="17"/>
    </row>
    <row r="37" spans="2:5" ht="21.75" customHeight="1">
      <c r="B37" s="9">
        <v>0</v>
      </c>
      <c r="C37" s="18" t="s">
        <v>18</v>
      </c>
      <c r="D37" s="8" t="s">
        <v>194</v>
      </c>
      <c r="E37" s="9">
        <v>0</v>
      </c>
    </row>
    <row r="38" spans="2:8" ht="21.75" customHeight="1" thickBot="1">
      <c r="B38" s="9">
        <v>39227</v>
      </c>
      <c r="C38" s="18" t="s">
        <v>20</v>
      </c>
      <c r="D38" s="8" t="s">
        <v>196</v>
      </c>
      <c r="E38" s="9">
        <v>0</v>
      </c>
      <c r="G38" s="17">
        <f>G39-B39</f>
        <v>-1095430.370000001</v>
      </c>
      <c r="H38" s="22"/>
    </row>
    <row r="39" spans="2:7" ht="21.75" customHeight="1" thickBot="1">
      <c r="B39" s="16">
        <f>SUM(B22:B38)</f>
        <v>7115334.760000001</v>
      </c>
      <c r="D39" s="8"/>
      <c r="E39" s="16">
        <f>SUM(E22:E38)</f>
        <v>517405.32999999996</v>
      </c>
      <c r="G39" s="17">
        <f>E39+'[2]รับจ่ายเงินสด'!$B$39</f>
        <v>6019904.39</v>
      </c>
    </row>
    <row r="40" spans="2:5" ht="21.75" customHeight="1" thickBot="1">
      <c r="B40" s="16">
        <f>B21+B39</f>
        <v>23210234.87</v>
      </c>
      <c r="C40" s="26" t="s">
        <v>37</v>
      </c>
      <c r="D40" s="27"/>
      <c r="E40" s="28">
        <f>E21+E39</f>
        <v>1518473.9</v>
      </c>
    </row>
    <row r="41" ht="21.75" customHeight="1">
      <c r="D41" s="26"/>
    </row>
    <row r="42" spans="4:7" ht="21.75" customHeight="1">
      <c r="D42" s="26"/>
      <c r="G42" s="17">
        <f>6400+6400+1800</f>
        <v>14600</v>
      </c>
    </row>
    <row r="43" ht="21.75" customHeight="1">
      <c r="D43" s="26"/>
    </row>
    <row r="44" ht="21.75" customHeight="1">
      <c r="D44" s="26"/>
    </row>
    <row r="45" ht="21.75" customHeight="1">
      <c r="D45" s="26"/>
    </row>
    <row r="46" ht="21.75" customHeight="1">
      <c r="D46" s="26"/>
    </row>
    <row r="47" ht="21.75" customHeight="1">
      <c r="D47" s="26"/>
    </row>
    <row r="48" ht="21.75" customHeight="1">
      <c r="D48" s="26"/>
    </row>
    <row r="49" ht="21.75" customHeight="1" thickBot="1">
      <c r="D49" s="26"/>
    </row>
    <row r="50" spans="1:7" s="30" customFormat="1" ht="21" customHeight="1" thickBot="1">
      <c r="A50" s="286" t="s">
        <v>25</v>
      </c>
      <c r="B50" s="287"/>
      <c r="C50" s="288" t="s">
        <v>3</v>
      </c>
      <c r="D50" s="290" t="s">
        <v>28</v>
      </c>
      <c r="E50" s="29" t="s">
        <v>29</v>
      </c>
      <c r="G50" s="31"/>
    </row>
    <row r="51" spans="1:7" s="30" customFormat="1" ht="21" customHeight="1" thickBot="1">
      <c r="A51" s="32" t="s">
        <v>26</v>
      </c>
      <c r="B51" s="29" t="s">
        <v>27</v>
      </c>
      <c r="C51" s="289"/>
      <c r="D51" s="291"/>
      <c r="E51" s="29" t="s">
        <v>27</v>
      </c>
      <c r="G51" s="31"/>
    </row>
    <row r="52" spans="1:7" s="30" customFormat="1" ht="21" customHeight="1">
      <c r="A52" s="33"/>
      <c r="B52" s="33" t="s">
        <v>45</v>
      </c>
      <c r="C52" s="34" t="s">
        <v>39</v>
      </c>
      <c r="D52" s="35"/>
      <c r="E52" s="33"/>
      <c r="G52" s="31"/>
    </row>
    <row r="53" spans="1:7" s="30" customFormat="1" ht="21" customHeight="1">
      <c r="A53" s="36">
        <f>495000-64000</f>
        <v>431000</v>
      </c>
      <c r="B53" s="36">
        <f>133486+186306+20436+3327+3327+3748+7086+3382+3327+3327+10583</f>
        <v>378335</v>
      </c>
      <c r="C53" s="30" t="s">
        <v>15</v>
      </c>
      <c r="D53" s="37" t="s">
        <v>221</v>
      </c>
      <c r="E53" s="36">
        <f>'[1]เงินสดจ่าย'!D5</f>
        <v>10583</v>
      </c>
      <c r="G53" s="31">
        <f>B56-A56</f>
        <v>-86075</v>
      </c>
    </row>
    <row r="54" spans="1:7" s="30" customFormat="1" ht="21" customHeight="1">
      <c r="A54" s="36">
        <f>1799400-410460-12500-90000</f>
        <v>1286440</v>
      </c>
      <c r="B54" s="36">
        <f>174740+156087+149950+149950+149950+149950+149950+149950+149950+149950-410460+49950</f>
        <v>1169917</v>
      </c>
      <c r="C54" s="30" t="s">
        <v>168</v>
      </c>
      <c r="D54" s="37" t="s">
        <v>169</v>
      </c>
      <c r="E54" s="36">
        <f>'[1]เงินสดจ่าย'!D7</f>
        <v>49950</v>
      </c>
      <c r="G54" s="31"/>
    </row>
    <row r="55" spans="1:8" s="30" customFormat="1" ht="21" customHeight="1">
      <c r="A55" s="36">
        <v>510460</v>
      </c>
      <c r="B55" s="36">
        <f>410460+100000</f>
        <v>510460</v>
      </c>
      <c r="C55" s="30" t="s">
        <v>168</v>
      </c>
      <c r="D55" s="37" t="s">
        <v>170</v>
      </c>
      <c r="E55" s="36">
        <f>'[1]เงินสดจ่าย'!D8</f>
        <v>100000</v>
      </c>
      <c r="G55" s="38">
        <f>49000+6000+110000+25000+47000+12000</f>
        <v>249000</v>
      </c>
      <c r="H55" s="39"/>
    </row>
    <row r="56" spans="1:7" s="30" customFormat="1" ht="21" customHeight="1">
      <c r="A56" s="36">
        <f>4594420-130000-60000-100000-40000-200000-10000-40000-130000+82000-249000+90000</f>
        <v>3807420</v>
      </c>
      <c r="B56" s="36">
        <f>259910+251000+259490+250910+269000+500884+272020+274200+273110+273110+273110+564601</f>
        <v>3721345</v>
      </c>
      <c r="C56" s="30" t="s">
        <v>171</v>
      </c>
      <c r="D56" s="37" t="s">
        <v>172</v>
      </c>
      <c r="E56" s="36">
        <f>'[1]เงินสดจ่าย'!D9</f>
        <v>564601</v>
      </c>
      <c r="G56" s="31"/>
    </row>
    <row r="57" spans="1:8" s="30" customFormat="1" ht="21" customHeight="1">
      <c r="A57" s="36">
        <f>526000+513600</f>
        <v>1039600</v>
      </c>
      <c r="B57" s="36">
        <f>99900+23198+6878.5+5576+5250</f>
        <v>140802.5</v>
      </c>
      <c r="C57" s="30" t="s">
        <v>9</v>
      </c>
      <c r="D57" s="37" t="s">
        <v>174</v>
      </c>
      <c r="E57" s="36">
        <f>'[1]เงินสดจ่าย'!D11</f>
        <v>5250</v>
      </c>
      <c r="G57" s="31">
        <f>123000+16100+75000+120000+330000</f>
        <v>664100</v>
      </c>
      <c r="H57" s="39"/>
    </row>
    <row r="58" spans="1:8" s="30" customFormat="1" ht="21" customHeight="1" hidden="1">
      <c r="A58" s="36">
        <v>0</v>
      </c>
      <c r="B58" s="36">
        <v>0</v>
      </c>
      <c r="C58" s="30" t="s">
        <v>9</v>
      </c>
      <c r="D58" s="37" t="s">
        <v>175</v>
      </c>
      <c r="E58" s="36">
        <v>0</v>
      </c>
      <c r="G58" s="31"/>
      <c r="H58" s="39"/>
    </row>
    <row r="59" spans="1:8" s="30" customFormat="1" ht="21" customHeight="1">
      <c r="A59" s="36">
        <f>1707850-216900+40000-82000-6850-100000+50000-646400-20000</f>
        <v>725700</v>
      </c>
      <c r="B59" s="36">
        <f>7000+32400+112460+55770+20740+56106.35+42798+58850+35856-60800+33370+28068+137699+149790</f>
        <v>710107.35</v>
      </c>
      <c r="C59" s="30" t="s">
        <v>10</v>
      </c>
      <c r="D59" s="37" t="s">
        <v>176</v>
      </c>
      <c r="E59" s="36">
        <f>'[1]เงินสดจ่าย'!D12+62550+3000+14100</f>
        <v>149790</v>
      </c>
      <c r="G59" s="31">
        <f>18500+41000+5000+56000+30000</f>
        <v>150500</v>
      </c>
      <c r="H59" s="39"/>
    </row>
    <row r="60" spans="1:8" s="30" customFormat="1" ht="21" customHeight="1">
      <c r="A60" s="36">
        <v>454850</v>
      </c>
      <c r="B60" s="36">
        <f>228000+60800+28200+16710+56305</f>
        <v>390015</v>
      </c>
      <c r="C60" s="30" t="s">
        <v>10</v>
      </c>
      <c r="D60" s="37" t="s">
        <v>177</v>
      </c>
      <c r="E60" s="36">
        <f>'[1]เงินสดจ่าย'!D13+3000+7200</f>
        <v>56305</v>
      </c>
      <c r="G60" s="38">
        <f>G57-G59</f>
        <v>513600</v>
      </c>
      <c r="H60" s="39"/>
    </row>
    <row r="61" spans="1:8" s="30" customFormat="1" ht="21" customHeight="1">
      <c r="A61" s="36">
        <f>523000+130000+100000+40000+10000+130000-191900+44000-5000-19000</f>
        <v>761100</v>
      </c>
      <c r="B61" s="36">
        <f>9080+35104.3+36260+69591+117374+97175+46563.57-27000+27180+104748.43+145018.32+95880</f>
        <v>756974.62</v>
      </c>
      <c r="C61" s="30" t="s">
        <v>11</v>
      </c>
      <c r="D61" s="37" t="s">
        <v>179</v>
      </c>
      <c r="E61" s="36">
        <f>'[1]เงินสดจ่าย'!D15</f>
        <v>95880</v>
      </c>
      <c r="G61" s="38">
        <f>47000+56900+5000+20000+4700+10000+54300+267500+181000</f>
        <v>646400</v>
      </c>
      <c r="H61" s="39"/>
    </row>
    <row r="62" spans="1:8" s="30" customFormat="1" ht="21" customHeight="1">
      <c r="A62" s="36">
        <v>362040</v>
      </c>
      <c r="B62" s="36">
        <f>35022.26+37086.14+53808.2+27000+28588.56+18192.72+63515.76</f>
        <v>263213.63999999996</v>
      </c>
      <c r="C62" s="30" t="s">
        <v>11</v>
      </c>
      <c r="D62" s="37" t="s">
        <v>180</v>
      </c>
      <c r="E62" s="36">
        <f>'[1]เงินสดจ่าย'!D16</f>
        <v>63515.76</v>
      </c>
      <c r="G62" s="38">
        <f>76000+11100+15500+6000+5300+32000+26000+20000</f>
        <v>191900</v>
      </c>
      <c r="H62" s="39"/>
    </row>
    <row r="63" spans="1:8" s="30" customFormat="1" ht="21" customHeight="1">
      <c r="A63" s="36">
        <f>149640+200000-59500</f>
        <v>290140</v>
      </c>
      <c r="B63" s="36">
        <f>18000.34+10475.48+13797.54+10735.9+10784.43+44508.9+40651.59+45460.14+30547.94+62338.94</f>
        <v>287301.2</v>
      </c>
      <c r="C63" s="30" t="s">
        <v>12</v>
      </c>
      <c r="D63" s="37" t="s">
        <v>182</v>
      </c>
      <c r="E63" s="36">
        <f>'[1]เงินสดจ่าย'!D18</f>
        <v>62338.94</v>
      </c>
      <c r="G63" s="38">
        <f>12500+2000+45000</f>
        <v>59500</v>
      </c>
      <c r="H63" s="39"/>
    </row>
    <row r="64" spans="1:7" s="30" customFormat="1" ht="21" customHeight="1">
      <c r="A64" s="36">
        <v>100000</v>
      </c>
      <c r="B64" s="36">
        <v>91417.36</v>
      </c>
      <c r="C64" s="30" t="s">
        <v>12</v>
      </c>
      <c r="D64" s="37" t="s">
        <v>183</v>
      </c>
      <c r="E64" s="36">
        <f>'[1]เงินสดจ่าย'!D19</f>
        <v>0</v>
      </c>
      <c r="G64" s="38">
        <f>151900+15500+59000+116300+367000</f>
        <v>709700</v>
      </c>
    </row>
    <row r="65" spans="1:7" s="30" customFormat="1" ht="21" customHeight="1">
      <c r="A65" s="36">
        <f>119000+60000</f>
        <v>179000</v>
      </c>
      <c r="B65" s="36">
        <f>43228+12000+12840+5159.35+17548</f>
        <v>90775.35</v>
      </c>
      <c r="C65" s="30" t="s">
        <v>13</v>
      </c>
      <c r="D65" s="37" t="s">
        <v>185</v>
      </c>
      <c r="E65" s="36">
        <f>'[1]เงินสดจ่าย'!D21</f>
        <v>17548</v>
      </c>
      <c r="G65" s="31"/>
    </row>
    <row r="66" spans="1:8" s="30" customFormat="1" ht="21" customHeight="1">
      <c r="A66" s="36">
        <f>9900+4300</f>
        <v>14200</v>
      </c>
      <c r="B66" s="36">
        <v>13290</v>
      </c>
      <c r="C66" s="30" t="s">
        <v>13</v>
      </c>
      <c r="D66" s="37" t="s">
        <v>186</v>
      </c>
      <c r="E66" s="36">
        <v>13290</v>
      </c>
      <c r="G66" s="31"/>
      <c r="H66" s="30">
        <f>1039600-140802.5</f>
        <v>898797.5</v>
      </c>
    </row>
    <row r="67" spans="1:7" s="30" customFormat="1" ht="21" customHeight="1">
      <c r="A67" s="36">
        <v>216900</v>
      </c>
      <c r="B67" s="36">
        <v>0</v>
      </c>
      <c r="C67" s="30" t="s">
        <v>14</v>
      </c>
      <c r="D67" s="37" t="s">
        <v>222</v>
      </c>
      <c r="E67" s="36">
        <f>'[1]เงินสดจ่าย'!D22</f>
        <v>0</v>
      </c>
      <c r="G67" s="31">
        <f>B54+B55+B56+B57+B59+B60+B61+B62+B63+B64</f>
        <v>8041553.67</v>
      </c>
    </row>
    <row r="68" spans="1:7" s="30" customFormat="1" ht="21" customHeight="1">
      <c r="A68" s="36">
        <f>2074650-14200</f>
        <v>2060450</v>
      </c>
      <c r="B68" s="36">
        <f>810000+1193400</f>
        <v>2003400</v>
      </c>
      <c r="C68" s="30" t="s">
        <v>14</v>
      </c>
      <c r="D68" s="37" t="s">
        <v>187</v>
      </c>
      <c r="E68" s="36">
        <f>'[1]เงินสดจ่าย'!D24</f>
        <v>1193400</v>
      </c>
      <c r="G68" s="31">
        <f>B55+B60+B62+B64+B66+B68+B70</f>
        <v>3769796</v>
      </c>
    </row>
    <row r="69" spans="1:8" s="30" customFormat="1" ht="21" customHeight="1">
      <c r="A69" s="36">
        <v>23000</v>
      </c>
      <c r="B69" s="36">
        <f>3000+20000</f>
        <v>23000</v>
      </c>
      <c r="C69" s="30" t="s">
        <v>16</v>
      </c>
      <c r="D69" s="37" t="s">
        <v>188</v>
      </c>
      <c r="E69" s="36">
        <f>'[1]เงินสดจ่าย'!D25</f>
        <v>0</v>
      </c>
      <c r="G69" s="31"/>
      <c r="H69" s="31">
        <v>213000</v>
      </c>
    </row>
    <row r="70" spans="1:8" s="30" customFormat="1" ht="21" customHeight="1">
      <c r="A70" s="36">
        <v>498000</v>
      </c>
      <c r="B70" s="36">
        <f>408000+90000</f>
        <v>498000</v>
      </c>
      <c r="C70" s="30" t="s">
        <v>16</v>
      </c>
      <c r="D70" s="37" t="s">
        <v>189</v>
      </c>
      <c r="E70" s="36">
        <v>0</v>
      </c>
      <c r="G70" s="31"/>
      <c r="H70" s="31">
        <v>410000</v>
      </c>
    </row>
    <row r="71" spans="1:8" s="30" customFormat="1" ht="21" customHeight="1">
      <c r="A71" s="36">
        <f>30000+709700</f>
        <v>739700</v>
      </c>
      <c r="B71" s="36">
        <v>737834</v>
      </c>
      <c r="C71" s="30" t="s">
        <v>57</v>
      </c>
      <c r="D71" s="37" t="s">
        <v>191</v>
      </c>
      <c r="E71" s="36">
        <f>'[1]เงินสดจ่าย'!D27</f>
        <v>737834</v>
      </c>
      <c r="G71" s="31">
        <v>4000000</v>
      </c>
      <c r="H71" s="31">
        <v>150000</v>
      </c>
    </row>
    <row r="72" spans="1:8" s="30" customFormat="1" ht="21" customHeight="1" thickBot="1">
      <c r="A72" s="40">
        <f>SUM(A53:A71)</f>
        <v>13500000</v>
      </c>
      <c r="B72" s="40">
        <f>SUM(B53:B71)</f>
        <v>11786188.02</v>
      </c>
      <c r="D72" s="37"/>
      <c r="E72" s="40">
        <f>SUM(E53:E71)</f>
        <v>3120285.7</v>
      </c>
      <c r="G72" s="31">
        <f>A55+A60+A62+A64+A66+A68+A70</f>
        <v>4000000</v>
      </c>
      <c r="H72" s="31">
        <v>26100</v>
      </c>
    </row>
    <row r="73" spans="1:8" s="30" customFormat="1" ht="21" customHeight="1" thickTop="1">
      <c r="A73" s="41"/>
      <c r="B73" s="36">
        <f>734400+242400+135930+350850+242850+242400+243300+242250+239300+240650</f>
        <v>2914330</v>
      </c>
      <c r="C73" s="30" t="s">
        <v>15</v>
      </c>
      <c r="D73" s="37" t="s">
        <v>167</v>
      </c>
      <c r="E73" s="36">
        <f>900+78800+160950</f>
        <v>240650</v>
      </c>
      <c r="G73" s="31">
        <f>G71-G72</f>
        <v>0</v>
      </c>
      <c r="H73" s="31">
        <v>95000</v>
      </c>
    </row>
    <row r="74" spans="1:8" s="30" customFormat="1" ht="21" customHeight="1">
      <c r="A74" s="41"/>
      <c r="B74" s="36">
        <f>24000+96000+24000+48000+24000+72000</f>
        <v>288000</v>
      </c>
      <c r="C74" s="30" t="s">
        <v>171</v>
      </c>
      <c r="D74" s="37" t="s">
        <v>173</v>
      </c>
      <c r="E74" s="36">
        <v>72000</v>
      </c>
      <c r="G74" s="31"/>
      <c r="H74" s="39">
        <f>SUM(H69:H73)</f>
        <v>894100</v>
      </c>
    </row>
    <row r="75" spans="1:7" s="30" customFormat="1" ht="21" customHeight="1" hidden="1">
      <c r="A75" s="41"/>
      <c r="B75" s="36">
        <v>0</v>
      </c>
      <c r="C75" s="30" t="s">
        <v>10</v>
      </c>
      <c r="D75" s="37" t="s">
        <v>178</v>
      </c>
      <c r="E75" s="36">
        <v>0</v>
      </c>
      <c r="G75" s="31"/>
    </row>
    <row r="76" spans="1:7" s="30" customFormat="1" ht="21" customHeight="1">
      <c r="A76" s="41"/>
      <c r="B76" s="36">
        <v>67995</v>
      </c>
      <c r="C76" s="30" t="s">
        <v>11</v>
      </c>
      <c r="D76" s="37" t="s">
        <v>181</v>
      </c>
      <c r="E76" s="36">
        <f>'[1]เงินสดจ่าย'!D17</f>
        <v>0</v>
      </c>
      <c r="G76" s="31">
        <f>G77-A72</f>
        <v>0</v>
      </c>
    </row>
    <row r="77" spans="1:7" s="30" customFormat="1" ht="21" customHeight="1">
      <c r="A77" s="41"/>
      <c r="B77" s="36">
        <v>304682.33</v>
      </c>
      <c r="C77" s="30" t="s">
        <v>12</v>
      </c>
      <c r="D77" s="37" t="s">
        <v>184</v>
      </c>
      <c r="E77" s="36">
        <v>304682.33</v>
      </c>
      <c r="G77" s="31">
        <v>13500000</v>
      </c>
    </row>
    <row r="78" spans="1:7" s="30" customFormat="1" ht="21" customHeight="1">
      <c r="A78" s="41"/>
      <c r="B78" s="36">
        <v>30000</v>
      </c>
      <c r="C78" s="30" t="s">
        <v>16</v>
      </c>
      <c r="D78" s="37" t="s">
        <v>223</v>
      </c>
      <c r="E78" s="36">
        <v>30000</v>
      </c>
      <c r="G78" s="31"/>
    </row>
    <row r="79" spans="1:7" s="30" customFormat="1" ht="21" customHeight="1" hidden="1" thickBot="1">
      <c r="A79" s="41"/>
      <c r="B79" s="36">
        <v>0</v>
      </c>
      <c r="C79" s="30" t="s">
        <v>14</v>
      </c>
      <c r="D79" s="37" t="s">
        <v>224</v>
      </c>
      <c r="E79" s="36">
        <v>0</v>
      </c>
      <c r="G79" s="31"/>
    </row>
    <row r="80" spans="1:7" s="30" customFormat="1" ht="21" customHeight="1" hidden="1" thickBot="1">
      <c r="A80" s="41"/>
      <c r="B80" s="36">
        <v>0</v>
      </c>
      <c r="C80" s="30" t="s">
        <v>57</v>
      </c>
      <c r="D80" s="37" t="s">
        <v>129</v>
      </c>
      <c r="E80" s="36">
        <v>0</v>
      </c>
      <c r="G80" s="31"/>
    </row>
    <row r="81" spans="1:7" s="30" customFormat="1" ht="21" customHeight="1">
      <c r="A81" s="31"/>
      <c r="B81" s="36">
        <f>1700000</f>
        <v>1700000</v>
      </c>
      <c r="C81" s="30" t="s">
        <v>20</v>
      </c>
      <c r="D81" s="37" t="s">
        <v>196</v>
      </c>
      <c r="E81" s="36">
        <f>'[1]เงินสดจ่าย'!D30</f>
        <v>0</v>
      </c>
      <c r="G81" s="31">
        <f>B73+B74+B76+B77+B78</f>
        <v>3605007.33</v>
      </c>
    </row>
    <row r="82" spans="1:8" s="30" customFormat="1" ht="21" customHeight="1">
      <c r="A82" s="31"/>
      <c r="B82" s="36">
        <f>82161.77+51588.5+47381.9+108006.11+57028.09+50762.58+131966.54+123621.93+128162.97+104999.68+113118.55+251138.42</f>
        <v>1249937.0399999998</v>
      </c>
      <c r="C82" s="30" t="s">
        <v>40</v>
      </c>
      <c r="D82" s="37" t="s">
        <v>197</v>
      </c>
      <c r="E82" s="36">
        <f>'[1]หมายเหตุ 2'!C19</f>
        <v>251138.42</v>
      </c>
      <c r="G82" s="31"/>
      <c r="H82" s="39"/>
    </row>
    <row r="83" spans="1:7" s="30" customFormat="1" ht="21" customHeight="1">
      <c r="A83" s="31"/>
      <c r="B83" s="36">
        <f>56682.86</f>
        <v>56682.86</v>
      </c>
      <c r="C83" s="30" t="s">
        <v>18</v>
      </c>
      <c r="D83" s="42" t="s">
        <v>194</v>
      </c>
      <c r="E83" s="36">
        <f>'[1]เงินสดจ่าย'!D28</f>
        <v>0</v>
      </c>
      <c r="G83" s="31"/>
    </row>
    <row r="84" spans="2:6" ht="21.75" customHeight="1">
      <c r="B84" s="9">
        <v>209.36</v>
      </c>
      <c r="C84" s="18" t="s">
        <v>164</v>
      </c>
      <c r="D84" s="8" t="s">
        <v>165</v>
      </c>
      <c r="E84" s="9">
        <v>0</v>
      </c>
      <c r="F84" s="22"/>
    </row>
    <row r="85" spans="1:7" s="30" customFormat="1" ht="21" customHeight="1">
      <c r="A85" s="31"/>
      <c r="B85" s="36">
        <f>94600+14500+55000+13800+8000+21500+78800+32550</f>
        <v>318750</v>
      </c>
      <c r="C85" s="30" t="s">
        <v>7</v>
      </c>
      <c r="D85" s="37" t="s">
        <v>162</v>
      </c>
      <c r="E85" s="36">
        <f>'[1]เงินสดจ่าย'!D41</f>
        <v>32550</v>
      </c>
      <c r="G85" s="31"/>
    </row>
    <row r="86" spans="1:7" s="30" customFormat="1" ht="21" customHeight="1">
      <c r="A86" s="31"/>
      <c r="B86" s="36">
        <f>269800+269470+269440+242760+102600+90800+84500+84500+82500+107490+105740+79250</f>
        <v>1788850</v>
      </c>
      <c r="C86" s="30" t="s">
        <v>68</v>
      </c>
      <c r="D86" s="37" t="s">
        <v>163</v>
      </c>
      <c r="E86" s="36">
        <f>'[1]เงินสดจ่าย'!D42</f>
        <v>79250</v>
      </c>
      <c r="G86" s="31"/>
    </row>
    <row r="87" spans="1:7" s="30" customFormat="1" ht="21" customHeight="1" thickBot="1">
      <c r="A87" s="31"/>
      <c r="B87" s="36">
        <f>19198</f>
        <v>19198</v>
      </c>
      <c r="C87" s="30" t="s">
        <v>54</v>
      </c>
      <c r="D87" s="43" t="s">
        <v>195</v>
      </c>
      <c r="E87" s="36">
        <f>'[1]เงินสดจ่าย'!D29</f>
        <v>0</v>
      </c>
      <c r="G87" s="31"/>
    </row>
    <row r="88" spans="1:7" s="30" customFormat="1" ht="21" customHeight="1" thickBot="1">
      <c r="A88" s="31"/>
      <c r="B88" s="44">
        <f>SUM(B73:B87)</f>
        <v>8738634.59</v>
      </c>
      <c r="D88" s="45"/>
      <c r="E88" s="44">
        <f>SUM(E73:E87)</f>
        <v>1010270.7500000001</v>
      </c>
      <c r="G88" s="31">
        <f>B20</f>
        <v>3997387</v>
      </c>
    </row>
    <row r="89" spans="1:7" s="30" customFormat="1" ht="21" customHeight="1" thickBot="1">
      <c r="A89" s="31"/>
      <c r="B89" s="44">
        <f>B72+B88</f>
        <v>20524822.61</v>
      </c>
      <c r="C89" s="46" t="s">
        <v>41</v>
      </c>
      <c r="D89" s="45"/>
      <c r="E89" s="44">
        <f>E72+E88</f>
        <v>4130556.45</v>
      </c>
      <c r="G89" s="31"/>
    </row>
    <row r="90" spans="1:7" s="30" customFormat="1" ht="21" customHeight="1" thickBot="1">
      <c r="A90" s="31"/>
      <c r="B90" s="44">
        <f>B40-B89</f>
        <v>2685412.2600000016</v>
      </c>
      <c r="C90" s="46" t="s">
        <v>42</v>
      </c>
      <c r="D90" s="45"/>
      <c r="E90" s="44">
        <f>E40-E89</f>
        <v>-2612082.5500000003</v>
      </c>
      <c r="G90" s="31"/>
    </row>
    <row r="91" spans="1:7" s="30" customFormat="1" ht="21" customHeight="1" thickBot="1">
      <c r="A91" s="31"/>
      <c r="B91" s="44">
        <f>B11+B40-B89</f>
        <v>23418571.880000003</v>
      </c>
      <c r="C91" s="46" t="s">
        <v>43</v>
      </c>
      <c r="D91" s="45"/>
      <c r="E91" s="47">
        <f>E11+E40-E89</f>
        <v>23418571.88</v>
      </c>
      <c r="G91" s="31">
        <f>'[1]งบทดลอง'!F11</f>
        <v>23418571.879999995</v>
      </c>
    </row>
    <row r="92" spans="1:7" s="30" customFormat="1" ht="21" customHeight="1">
      <c r="A92" s="31"/>
      <c r="B92" s="41"/>
      <c r="C92" s="46"/>
      <c r="D92" s="45"/>
      <c r="E92" s="41"/>
      <c r="G92" s="31"/>
    </row>
    <row r="93" spans="1:7" s="30" customFormat="1" ht="21" customHeight="1" hidden="1">
      <c r="A93" s="31"/>
      <c r="B93" s="41"/>
      <c r="C93" s="46"/>
      <c r="D93" s="45"/>
      <c r="E93" s="41"/>
      <c r="G93" s="31">
        <f>B91-E91</f>
        <v>0</v>
      </c>
    </row>
    <row r="94" spans="1:7" s="30" customFormat="1" ht="21" customHeight="1">
      <c r="A94" s="31"/>
      <c r="B94" s="41"/>
      <c r="C94" s="46"/>
      <c r="D94" s="45"/>
      <c r="E94" s="41"/>
      <c r="G94" s="31"/>
    </row>
    <row r="95" spans="1:7" s="30" customFormat="1" ht="21" customHeight="1">
      <c r="A95" s="277" t="s">
        <v>225</v>
      </c>
      <c r="B95" s="277"/>
      <c r="C95" s="48" t="s">
        <v>226</v>
      </c>
      <c r="D95" s="279" t="s">
        <v>227</v>
      </c>
      <c r="E95" s="279"/>
      <c r="G95" s="31">
        <f>B92-E92</f>
        <v>0</v>
      </c>
    </row>
    <row r="96" spans="1:7" s="30" customFormat="1" ht="21" customHeight="1">
      <c r="A96" s="277" t="s">
        <v>136</v>
      </c>
      <c r="B96" s="277"/>
      <c r="C96" s="48" t="s">
        <v>228</v>
      </c>
      <c r="D96" s="277" t="s">
        <v>229</v>
      </c>
      <c r="E96" s="277"/>
      <c r="G96" s="31"/>
    </row>
    <row r="97" spans="1:7" s="30" customFormat="1" ht="21" customHeight="1">
      <c r="A97" s="277" t="s">
        <v>152</v>
      </c>
      <c r="B97" s="277"/>
      <c r="C97" s="48" t="s">
        <v>230</v>
      </c>
      <c r="D97" s="278" t="s">
        <v>231</v>
      </c>
      <c r="E97" s="278"/>
      <c r="G97" s="31"/>
    </row>
    <row r="98" spans="1:5" ht="21.75" customHeight="1">
      <c r="A98" s="277"/>
      <c r="B98" s="277"/>
      <c r="C98" s="48"/>
      <c r="D98" s="278"/>
      <c r="E98" s="278"/>
    </row>
    <row r="99" spans="3:4" ht="21.75" customHeight="1">
      <c r="C99" s="17"/>
      <c r="D99" s="17"/>
    </row>
    <row r="100" spans="3:4" ht="21.75" customHeight="1">
      <c r="C100" s="17"/>
      <c r="D100" s="17"/>
    </row>
    <row r="101" spans="3:4" ht="21.75" customHeight="1">
      <c r="C101" s="17"/>
      <c r="D101" s="17"/>
    </row>
    <row r="102" spans="3:4" ht="21.75" customHeight="1">
      <c r="C102" s="17"/>
      <c r="D102" s="17"/>
    </row>
    <row r="103" spans="3:4" ht="21.75" customHeight="1">
      <c r="C103" s="17"/>
      <c r="D103" s="17"/>
    </row>
    <row r="104" spans="3:4" ht="21.75" customHeight="1">
      <c r="C104" s="17"/>
      <c r="D104" s="17"/>
    </row>
    <row r="105" spans="3:4" ht="21.75" customHeight="1">
      <c r="C105" s="17"/>
      <c r="D105" s="17"/>
    </row>
    <row r="106" ht="21.75" customHeight="1">
      <c r="D106" s="26"/>
    </row>
    <row r="107" ht="21.75" customHeight="1">
      <c r="D107" s="26"/>
    </row>
    <row r="108" ht="21.75" customHeight="1">
      <c r="D108" s="26"/>
    </row>
  </sheetData>
  <sheetProtection/>
  <mergeCells count="18">
    <mergeCell ref="A5:B5"/>
    <mergeCell ref="A6:B6"/>
    <mergeCell ref="D6:E6"/>
    <mergeCell ref="D8:E8"/>
    <mergeCell ref="A9:B9"/>
    <mergeCell ref="C9:C10"/>
    <mergeCell ref="D9:D10"/>
    <mergeCell ref="A50:B50"/>
    <mergeCell ref="C50:C51"/>
    <mergeCell ref="D50:D51"/>
    <mergeCell ref="A97:B97"/>
    <mergeCell ref="D97:E97"/>
    <mergeCell ref="A98:B98"/>
    <mergeCell ref="D98:E98"/>
    <mergeCell ref="A95:B95"/>
    <mergeCell ref="D95:E95"/>
    <mergeCell ref="A96:B96"/>
    <mergeCell ref="D96:E96"/>
  </mergeCells>
  <printOptions/>
  <pageMargins left="0.7874015748031497" right="0.1968503937007874" top="0.15748031496062992" bottom="0.15748031496062992" header="0.15748031496062992" footer="0.15748031496062992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50.28125" style="18" customWidth="1"/>
    <col min="2" max="2" width="17.7109375" style="18" customWidth="1"/>
    <col min="3" max="3" width="9.140625" style="20" customWidth="1"/>
    <col min="4" max="4" width="8.28125" style="18" customWidth="1"/>
    <col min="5" max="16384" width="9.140625" style="18" customWidth="1"/>
  </cols>
  <sheetData>
    <row r="1" spans="1:3" ht="20.25">
      <c r="A1" s="296" t="s">
        <v>232</v>
      </c>
      <c r="B1" s="296"/>
      <c r="C1" s="296"/>
    </row>
    <row r="2" spans="1:3" ht="20.25">
      <c r="A2" s="296" t="s">
        <v>66</v>
      </c>
      <c r="B2" s="296"/>
      <c r="C2" s="296"/>
    </row>
    <row r="3" spans="1:3" ht="20.25">
      <c r="A3" s="49"/>
      <c r="B3" s="49"/>
      <c r="C3" s="49"/>
    </row>
    <row r="4" spans="1:3" ht="20.25">
      <c r="A4" s="18" t="s">
        <v>52</v>
      </c>
      <c r="B4" s="17">
        <f>'[1]หมายเหตุ 2'!F4</f>
        <v>14829.660000000002</v>
      </c>
      <c r="C4" s="20" t="s">
        <v>23</v>
      </c>
    </row>
    <row r="5" spans="1:3" ht="20.25">
      <c r="A5" s="18" t="s">
        <v>21</v>
      </c>
      <c r="B5" s="17">
        <f>'[1]หมายเหตุ 2'!F5</f>
        <v>285380</v>
      </c>
      <c r="C5" s="20" t="s">
        <v>23</v>
      </c>
    </row>
    <row r="6" spans="1:3" ht="20.25" hidden="1">
      <c r="A6" s="18" t="s">
        <v>62</v>
      </c>
      <c r="B6" s="17">
        <f>'[1]หมายเหตุ 2'!F6</f>
        <v>0</v>
      </c>
      <c r="C6" s="20" t="s">
        <v>23</v>
      </c>
    </row>
    <row r="7" spans="1:3" ht="20.25">
      <c r="A7" s="18" t="s">
        <v>63</v>
      </c>
      <c r="B7" s="17">
        <f>'[1]หมายเหตุ 2'!F7</f>
        <v>9011.64</v>
      </c>
      <c r="C7" s="20" t="s">
        <v>23</v>
      </c>
    </row>
    <row r="8" spans="1:3" ht="20.25">
      <c r="A8" s="18" t="s">
        <v>64</v>
      </c>
      <c r="B8" s="17">
        <f>'[1]หมายเหตุ 2'!F8</f>
        <v>13491.69</v>
      </c>
      <c r="C8" s="20" t="s">
        <v>23</v>
      </c>
    </row>
    <row r="9" spans="1:3" ht="20.25">
      <c r="A9" s="18" t="s">
        <v>65</v>
      </c>
      <c r="B9" s="17">
        <f>'[1]หมายเหตุ 2'!F9</f>
        <v>286980.58</v>
      </c>
      <c r="C9" s="20" t="s">
        <v>23</v>
      </c>
    </row>
    <row r="10" spans="1:3" ht="20.25">
      <c r="A10" s="18" t="s">
        <v>153</v>
      </c>
      <c r="B10" s="17">
        <f>'[1]หมายเหตุ 2'!F11</f>
        <v>638</v>
      </c>
      <c r="C10" s="20" t="s">
        <v>23</v>
      </c>
    </row>
    <row r="11" spans="1:3" ht="20.25">
      <c r="A11" s="18" t="s">
        <v>143</v>
      </c>
      <c r="B11" s="17">
        <f>'[1]หมายเหตุ 2'!F12</f>
        <v>100</v>
      </c>
      <c r="C11" s="20" t="s">
        <v>23</v>
      </c>
    </row>
    <row r="12" spans="1:3" ht="20.25">
      <c r="A12" s="18" t="s">
        <v>233</v>
      </c>
      <c r="B12" s="17">
        <f>'[1]หมายเหตุ 2'!F15</f>
        <v>0</v>
      </c>
      <c r="C12" s="20" t="s">
        <v>23</v>
      </c>
    </row>
    <row r="13" spans="1:3" ht="20.25">
      <c r="A13" s="18" t="s">
        <v>130</v>
      </c>
      <c r="B13" s="17">
        <f>'[1]หมายเหตุ 2'!F10</f>
        <v>8807.199999999997</v>
      </c>
      <c r="C13" s="20" t="s">
        <v>23</v>
      </c>
    </row>
    <row r="14" spans="1:3" ht="20.25">
      <c r="A14" s="18" t="s">
        <v>234</v>
      </c>
      <c r="B14" s="17">
        <f>'[1]หมายเหตุ 2'!F18</f>
        <v>0</v>
      </c>
      <c r="C14" s="20" t="s">
        <v>23</v>
      </c>
    </row>
    <row r="15" spans="2:3" ht="21" thickBot="1">
      <c r="B15" s="50">
        <f>SUM(B4:B14)</f>
        <v>619238.77</v>
      </c>
      <c r="C15" s="20" t="s">
        <v>23</v>
      </c>
    </row>
    <row r="16" ht="21" thickTop="1">
      <c r="B16" s="51"/>
    </row>
    <row r="18" spans="1:5" s="1" customFormat="1" ht="21.75" customHeight="1">
      <c r="A18" s="52"/>
      <c r="B18" s="52"/>
      <c r="C18" s="52"/>
      <c r="D18" s="52"/>
      <c r="E18" s="52"/>
    </row>
    <row r="19" spans="1:5" s="1" customFormat="1" ht="21.75" customHeight="1">
      <c r="A19" s="53"/>
      <c r="B19" s="53"/>
      <c r="C19" s="53"/>
      <c r="D19" s="53"/>
      <c r="E19" s="53"/>
    </row>
    <row r="20" spans="1:5" s="1" customFormat="1" ht="21.75" customHeight="1">
      <c r="A20" s="52"/>
      <c r="B20" s="52"/>
      <c r="C20" s="52"/>
      <c r="D20" s="52"/>
      <c r="E20" s="52"/>
    </row>
  </sheetData>
  <sheetProtection/>
  <mergeCells count="2">
    <mergeCell ref="A1:C1"/>
    <mergeCell ref="A2:C2"/>
  </mergeCells>
  <printOptions/>
  <pageMargins left="0.9448818897637796" right="0.35433070866141736" top="0.984251968503937" bottom="0.984251968503937" header="0.5118110236220472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48.8515625" style="18" customWidth="1"/>
    <col min="2" max="3" width="16.57421875" style="17" customWidth="1"/>
    <col min="4" max="4" width="9.140625" style="18" customWidth="1"/>
    <col min="5" max="5" width="15.00390625" style="18" customWidth="1"/>
    <col min="6" max="6" width="16.28125" style="18" customWidth="1"/>
    <col min="7" max="7" width="12.7109375" style="18" customWidth="1"/>
    <col min="8" max="16384" width="9.140625" style="18" customWidth="1"/>
  </cols>
  <sheetData>
    <row r="1" spans="1:3" ht="20.25">
      <c r="A1" s="296" t="s">
        <v>238</v>
      </c>
      <c r="B1" s="296"/>
      <c r="C1" s="296"/>
    </row>
    <row r="2" spans="1:3" ht="20.25">
      <c r="A2" s="297" t="s">
        <v>19</v>
      </c>
      <c r="B2" s="297"/>
      <c r="C2" s="297"/>
    </row>
    <row r="3" spans="1:6" ht="20.25">
      <c r="A3" s="55" t="s">
        <v>3</v>
      </c>
      <c r="B3" s="56" t="s">
        <v>47</v>
      </c>
      <c r="C3" s="56" t="s">
        <v>48</v>
      </c>
      <c r="E3" s="57" t="s">
        <v>30</v>
      </c>
      <c r="F3" s="57" t="s">
        <v>137</v>
      </c>
    </row>
    <row r="4" spans="1:7" ht="20.25">
      <c r="A4" s="18" t="s">
        <v>22</v>
      </c>
      <c r="B4" s="58">
        <v>14829.66</v>
      </c>
      <c r="C4" s="58">
        <v>2557.72</v>
      </c>
      <c r="E4" s="17">
        <v>2557.72</v>
      </c>
      <c r="F4" s="17">
        <f>E4+B4-C4</f>
        <v>14829.660000000002</v>
      </c>
      <c r="G4" s="17"/>
    </row>
    <row r="5" spans="1:7" ht="20.25">
      <c r="A5" s="18" t="s">
        <v>21</v>
      </c>
      <c r="B5" s="59">
        <v>59670</v>
      </c>
      <c r="C5" s="59">
        <v>84850</v>
      </c>
      <c r="E5" s="17">
        <v>310560</v>
      </c>
      <c r="F5" s="17">
        <f aca="true" t="shared" si="0" ref="F5:F16">E5+B5-C5</f>
        <v>285380</v>
      </c>
      <c r="G5" s="17"/>
    </row>
    <row r="6" spans="1:7" ht="20.25" hidden="1">
      <c r="A6" s="18" t="s">
        <v>62</v>
      </c>
      <c r="B6" s="59">
        <v>0</v>
      </c>
      <c r="C6" s="59">
        <v>0</v>
      </c>
      <c r="E6" s="17">
        <v>0</v>
      </c>
      <c r="F6" s="17">
        <f t="shared" si="0"/>
        <v>0</v>
      </c>
      <c r="G6" s="17"/>
    </row>
    <row r="7" spans="1:7" ht="20.25">
      <c r="A7" s="18" t="s">
        <v>63</v>
      </c>
      <c r="B7" s="59">
        <v>30.09</v>
      </c>
      <c r="C7" s="59">
        <v>0</v>
      </c>
      <c r="E7" s="17">
        <v>8981.55</v>
      </c>
      <c r="F7" s="17">
        <f t="shared" si="0"/>
        <v>9011.64</v>
      </c>
      <c r="G7" s="17"/>
    </row>
    <row r="8" spans="1:7" ht="20.25">
      <c r="A8" s="18" t="s">
        <v>55</v>
      </c>
      <c r="B8" s="59">
        <v>0</v>
      </c>
      <c r="C8" s="59">
        <v>0</v>
      </c>
      <c r="E8" s="17">
        <v>13491.69</v>
      </c>
      <c r="F8" s="17">
        <f t="shared" si="0"/>
        <v>13491.69</v>
      </c>
      <c r="G8" s="17"/>
    </row>
    <row r="9" spans="1:7" ht="20.25">
      <c r="A9" s="18" t="s">
        <v>56</v>
      </c>
      <c r="B9" s="59">
        <v>680.28</v>
      </c>
      <c r="C9" s="59">
        <v>0</v>
      </c>
      <c r="E9" s="17">
        <v>286300.3</v>
      </c>
      <c r="F9" s="17">
        <f t="shared" si="0"/>
        <v>286980.58</v>
      </c>
      <c r="G9" s="17"/>
    </row>
    <row r="10" spans="1:7" ht="20.25">
      <c r="A10" s="18" t="s">
        <v>69</v>
      </c>
      <c r="B10" s="59">
        <v>10790.4</v>
      </c>
      <c r="C10" s="59">
        <v>60628.8</v>
      </c>
      <c r="E10" s="17">
        <v>58645.6</v>
      </c>
      <c r="F10" s="17">
        <f t="shared" si="0"/>
        <v>8807.199999999997</v>
      </c>
      <c r="G10" s="17"/>
    </row>
    <row r="11" spans="1:7" ht="20.25">
      <c r="A11" s="18" t="s">
        <v>153</v>
      </c>
      <c r="B11" s="59">
        <v>0</v>
      </c>
      <c r="C11" s="59">
        <v>0</v>
      </c>
      <c r="E11" s="17">
        <v>638</v>
      </c>
      <c r="F11" s="17">
        <f t="shared" si="0"/>
        <v>638</v>
      </c>
      <c r="G11" s="17"/>
    </row>
    <row r="12" spans="1:7" ht="20.25">
      <c r="A12" s="18" t="s">
        <v>143</v>
      </c>
      <c r="B12" s="59">
        <v>0</v>
      </c>
      <c r="C12" s="59">
        <v>0</v>
      </c>
      <c r="E12" s="17">
        <v>100</v>
      </c>
      <c r="F12" s="17">
        <f>E12+B12-C12</f>
        <v>100</v>
      </c>
      <c r="G12" s="17"/>
    </row>
    <row r="13" spans="1:7" ht="20.25">
      <c r="A13" s="18" t="s">
        <v>131</v>
      </c>
      <c r="B13" s="59">
        <v>0</v>
      </c>
      <c r="C13" s="59">
        <v>0</v>
      </c>
      <c r="E13" s="24">
        <v>0</v>
      </c>
      <c r="F13" s="17">
        <f t="shared" si="0"/>
        <v>0</v>
      </c>
      <c r="G13" s="17"/>
    </row>
    <row r="14" spans="1:7" ht="20.25">
      <c r="A14" s="18" t="s">
        <v>138</v>
      </c>
      <c r="B14" s="59">
        <v>0</v>
      </c>
      <c r="C14" s="59">
        <v>0</v>
      </c>
      <c r="E14" s="17">
        <v>0</v>
      </c>
      <c r="F14" s="17">
        <f>E14+B14-C14</f>
        <v>0</v>
      </c>
      <c r="G14" s="17"/>
    </row>
    <row r="15" spans="1:7" ht="20.25">
      <c r="A15" s="18" t="s">
        <v>233</v>
      </c>
      <c r="B15" s="59">
        <v>7706</v>
      </c>
      <c r="C15" s="59">
        <v>11483</v>
      </c>
      <c r="E15" s="17">
        <v>3777</v>
      </c>
      <c r="F15" s="17">
        <f>E15+B15-C15</f>
        <v>0</v>
      </c>
      <c r="G15" s="17"/>
    </row>
    <row r="16" spans="1:7" ht="20.25">
      <c r="A16" s="18" t="s">
        <v>139</v>
      </c>
      <c r="B16" s="59">
        <v>45200</v>
      </c>
      <c r="C16" s="59">
        <v>45200</v>
      </c>
      <c r="E16" s="17">
        <v>0</v>
      </c>
      <c r="F16" s="17">
        <f t="shared" si="0"/>
        <v>0</v>
      </c>
      <c r="G16" s="17"/>
    </row>
    <row r="17" spans="1:7" ht="20.25">
      <c r="A17" s="18" t="s">
        <v>239</v>
      </c>
      <c r="B17" s="59">
        <v>45236.9</v>
      </c>
      <c r="C17" s="59">
        <v>45236.9</v>
      </c>
      <c r="E17" s="17">
        <v>0</v>
      </c>
      <c r="F17" s="17">
        <f>E17+B17-C17</f>
        <v>0</v>
      </c>
      <c r="G17" s="17"/>
    </row>
    <row r="18" spans="1:7" ht="20.25">
      <c r="A18" s="18" t="s">
        <v>234</v>
      </c>
      <c r="B18" s="59">
        <v>682</v>
      </c>
      <c r="C18" s="59">
        <v>1182</v>
      </c>
      <c r="E18" s="17">
        <v>500</v>
      </c>
      <c r="F18" s="17">
        <f>E18+B18-C18</f>
        <v>0</v>
      </c>
      <c r="G18" s="17"/>
    </row>
    <row r="19" spans="2:7" ht="21" thickBot="1">
      <c r="B19" s="60">
        <f>SUM(B4:B18)</f>
        <v>184825.33</v>
      </c>
      <c r="C19" s="60">
        <f>SUM(C4:C18)</f>
        <v>251138.42</v>
      </c>
      <c r="E19" s="50">
        <f>SUM(E4:E18)</f>
        <v>685551.86</v>
      </c>
      <c r="F19" s="50">
        <f>SUM(F4:F18)</f>
        <v>619238.77</v>
      </c>
      <c r="G19" s="50"/>
    </row>
    <row r="20" ht="21" thickTop="1"/>
    <row r="21" spans="1:5" s="1" customFormat="1" ht="21.75" customHeight="1">
      <c r="A21" s="52"/>
      <c r="B21" s="52"/>
      <c r="C21" s="52"/>
      <c r="D21" s="52"/>
      <c r="E21" s="52"/>
    </row>
    <row r="22" spans="1:5" s="1" customFormat="1" ht="21.75" customHeight="1">
      <c r="A22" s="53"/>
      <c r="B22" s="53"/>
      <c r="C22" s="53"/>
      <c r="D22" s="53"/>
      <c r="E22" s="53"/>
    </row>
    <row r="23" spans="1:5" s="1" customFormat="1" ht="21.75" customHeight="1">
      <c r="A23" s="52"/>
      <c r="B23" s="52"/>
      <c r="C23" s="52"/>
      <c r="D23" s="52"/>
      <c r="E23" s="52"/>
    </row>
  </sheetData>
  <sheetProtection/>
  <mergeCells count="2">
    <mergeCell ref="A1:C1"/>
    <mergeCell ref="A2:C2"/>
  </mergeCells>
  <printOptions/>
  <pageMargins left="0.9448818897637796" right="0.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G11" sqref="G11"/>
    </sheetView>
  </sheetViews>
  <sheetFormatPr defaultColWidth="12.00390625" defaultRowHeight="15" customHeight="1"/>
  <cols>
    <col min="1" max="1" width="48.421875" style="61" customWidth="1"/>
    <col min="2" max="2" width="10.140625" style="61" customWidth="1"/>
    <col min="3" max="4" width="14.421875" style="61" customWidth="1"/>
    <col min="5" max="5" width="13.421875" style="61" customWidth="1"/>
    <col min="6" max="8" width="13.421875" style="74" customWidth="1"/>
    <col min="9" max="10" width="14.421875" style="74" customWidth="1"/>
    <col min="11" max="16384" width="12.00390625" style="61" customWidth="1"/>
  </cols>
  <sheetData>
    <row r="1" spans="1:10" ht="24.75" customHeight="1">
      <c r="A1" s="311" t="s">
        <v>240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s="62" customFormat="1" ht="30.75" customHeight="1">
      <c r="A2" s="272" t="s">
        <v>98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s="19" customFormat="1" ht="25.5" customHeight="1">
      <c r="A3" s="63"/>
      <c r="B3" s="64"/>
      <c r="C3" s="304" t="s">
        <v>241</v>
      </c>
      <c r="D3" s="305"/>
      <c r="E3" s="304" t="s">
        <v>242</v>
      </c>
      <c r="F3" s="306"/>
      <c r="G3" s="304" t="s">
        <v>242</v>
      </c>
      <c r="H3" s="306"/>
      <c r="I3" s="307" t="s">
        <v>243</v>
      </c>
      <c r="J3" s="308"/>
    </row>
    <row r="4" spans="1:10" s="19" customFormat="1" ht="25.5" customHeight="1">
      <c r="A4" s="66" t="s">
        <v>3</v>
      </c>
      <c r="B4" s="67" t="s">
        <v>2</v>
      </c>
      <c r="C4" s="301" t="s">
        <v>244</v>
      </c>
      <c r="D4" s="302"/>
      <c r="E4" s="301" t="s">
        <v>245</v>
      </c>
      <c r="F4" s="303"/>
      <c r="G4" s="301" t="s">
        <v>246</v>
      </c>
      <c r="H4" s="303"/>
      <c r="I4" s="309" t="s">
        <v>247</v>
      </c>
      <c r="J4" s="310"/>
    </row>
    <row r="5" spans="1:10" s="19" customFormat="1" ht="25.5" customHeight="1">
      <c r="A5" s="65"/>
      <c r="B5" s="69"/>
      <c r="C5" s="68" t="s">
        <v>4</v>
      </c>
      <c r="D5" s="70" t="s">
        <v>5</v>
      </c>
      <c r="E5" s="71" t="s">
        <v>4</v>
      </c>
      <c r="F5" s="70" t="s">
        <v>5</v>
      </c>
      <c r="G5" s="72" t="s">
        <v>4</v>
      </c>
      <c r="H5" s="70" t="s">
        <v>5</v>
      </c>
      <c r="I5" s="72" t="s">
        <v>4</v>
      </c>
      <c r="J5" s="70" t="s">
        <v>5</v>
      </c>
    </row>
    <row r="6" spans="1:10" s="1" customFormat="1" ht="24.75" customHeight="1">
      <c r="A6" s="89" t="s">
        <v>59</v>
      </c>
      <c r="B6" s="90" t="s">
        <v>158</v>
      </c>
      <c r="C6" s="88">
        <v>6174485.64</v>
      </c>
      <c r="D6" s="73"/>
      <c r="E6" s="73"/>
      <c r="F6" s="73"/>
      <c r="G6" s="73"/>
      <c r="H6" s="73"/>
      <c r="I6" s="73">
        <f aca="true" t="shared" si="0" ref="I6:I14">C6-D6+E6-F6+G6-H6</f>
        <v>6174485.64</v>
      </c>
      <c r="J6" s="73"/>
    </row>
    <row r="7" spans="1:10" s="1" customFormat="1" ht="24.75" customHeight="1">
      <c r="A7" s="89" t="s">
        <v>60</v>
      </c>
      <c r="B7" s="90" t="s">
        <v>158</v>
      </c>
      <c r="C7" s="88">
        <v>13533.37</v>
      </c>
      <c r="D7" s="73"/>
      <c r="E7" s="73"/>
      <c r="F7" s="73"/>
      <c r="G7" s="73"/>
      <c r="H7" s="73"/>
      <c r="I7" s="73">
        <f t="shared" si="0"/>
        <v>13533.37</v>
      </c>
      <c r="J7" s="73"/>
    </row>
    <row r="8" spans="1:10" s="1" customFormat="1" ht="24.75" customHeight="1">
      <c r="A8" s="89" t="s">
        <v>128</v>
      </c>
      <c r="B8" s="90" t="s">
        <v>159</v>
      </c>
      <c r="C8" s="88">
        <v>9718701.57</v>
      </c>
      <c r="D8" s="73"/>
      <c r="E8" s="73"/>
      <c r="F8" s="73"/>
      <c r="G8" s="73"/>
      <c r="H8" s="73"/>
      <c r="I8" s="73">
        <f t="shared" si="0"/>
        <v>9718701.57</v>
      </c>
      <c r="J8" s="73"/>
    </row>
    <row r="9" spans="1:10" s="1" customFormat="1" ht="24.75" customHeight="1">
      <c r="A9" s="89" t="s">
        <v>132</v>
      </c>
      <c r="B9" s="90" t="s">
        <v>159</v>
      </c>
      <c r="C9" s="88">
        <v>4160527.44</v>
      </c>
      <c r="D9" s="73"/>
      <c r="E9" s="73"/>
      <c r="F9" s="73"/>
      <c r="G9" s="73"/>
      <c r="H9" s="73"/>
      <c r="I9" s="73">
        <f t="shared" si="0"/>
        <v>4160527.44</v>
      </c>
      <c r="J9" s="73"/>
    </row>
    <row r="10" spans="1:10" s="1" customFormat="1" ht="24.75" customHeight="1">
      <c r="A10" s="89" t="s">
        <v>61</v>
      </c>
      <c r="B10" s="90" t="s">
        <v>158</v>
      </c>
      <c r="C10" s="88">
        <v>286980.58</v>
      </c>
      <c r="D10" s="73"/>
      <c r="E10" s="73"/>
      <c r="F10" s="73"/>
      <c r="G10" s="73"/>
      <c r="H10" s="73"/>
      <c r="I10" s="73">
        <f>C10+E10+G10</f>
        <v>286980.58</v>
      </c>
      <c r="J10" s="73"/>
    </row>
    <row r="11" spans="1:10" s="1" customFormat="1" ht="24.75" customHeight="1">
      <c r="A11" s="89" t="s">
        <v>160</v>
      </c>
      <c r="B11" s="90" t="s">
        <v>158</v>
      </c>
      <c r="C11" s="88">
        <v>64343.28</v>
      </c>
      <c r="D11" s="73"/>
      <c r="E11" s="73"/>
      <c r="F11" s="73"/>
      <c r="G11" s="73"/>
      <c r="H11" s="73"/>
      <c r="I11" s="73">
        <f>C11+E11+G11</f>
        <v>64343.28</v>
      </c>
      <c r="J11" s="73"/>
    </row>
    <row r="12" spans="1:10" s="1" customFormat="1" ht="24.75" customHeight="1">
      <c r="A12" s="89" t="s">
        <v>161</v>
      </c>
      <c r="B12" s="90" t="s">
        <v>158</v>
      </c>
      <c r="C12" s="88">
        <v>3000000</v>
      </c>
      <c r="D12" s="73"/>
      <c r="E12" s="73"/>
      <c r="F12" s="73"/>
      <c r="G12" s="73"/>
      <c r="H12" s="73"/>
      <c r="I12" s="73">
        <f t="shared" si="0"/>
        <v>3000000</v>
      </c>
      <c r="J12" s="73"/>
    </row>
    <row r="13" spans="1:10" s="1" customFormat="1" ht="24.75" customHeight="1">
      <c r="A13" s="89" t="s">
        <v>7</v>
      </c>
      <c r="B13" s="90" t="s">
        <v>162</v>
      </c>
      <c r="C13" s="88">
        <f>'[3]งบทดลอง2'!C16</f>
        <v>0</v>
      </c>
      <c r="D13" s="73"/>
      <c r="E13" s="73"/>
      <c r="F13" s="73"/>
      <c r="G13" s="73"/>
      <c r="H13" s="73"/>
      <c r="I13" s="73">
        <f t="shared" si="0"/>
        <v>0</v>
      </c>
      <c r="J13" s="73"/>
    </row>
    <row r="14" spans="1:10" s="1" customFormat="1" ht="24.75" customHeight="1">
      <c r="A14" s="89" t="s">
        <v>68</v>
      </c>
      <c r="B14" s="90" t="s">
        <v>163</v>
      </c>
      <c r="C14" s="88">
        <f>'[3]งบทดลอง2'!C17</f>
        <v>0</v>
      </c>
      <c r="D14" s="73"/>
      <c r="E14" s="73"/>
      <c r="F14" s="73"/>
      <c r="G14" s="73"/>
      <c r="H14" s="73"/>
      <c r="I14" s="73">
        <f t="shared" si="0"/>
        <v>0</v>
      </c>
      <c r="J14" s="73"/>
    </row>
    <row r="15" spans="1:10" s="1" customFormat="1" ht="24.75" customHeight="1">
      <c r="A15" s="89" t="s">
        <v>8</v>
      </c>
      <c r="B15" s="90" t="s">
        <v>166</v>
      </c>
      <c r="C15" s="88">
        <v>63167.8</v>
      </c>
      <c r="D15" s="73"/>
      <c r="E15" s="73">
        <v>73769</v>
      </c>
      <c r="F15" s="73">
        <v>63167.8</v>
      </c>
      <c r="G15" s="73"/>
      <c r="H15" s="73"/>
      <c r="I15" s="73">
        <f>C15+E15+G15-D15-F15-H15</f>
        <v>73768.99999999999</v>
      </c>
      <c r="J15" s="73"/>
    </row>
    <row r="16" spans="1:10" s="1" customFormat="1" ht="24.75" customHeight="1">
      <c r="A16" s="89" t="s">
        <v>15</v>
      </c>
      <c r="B16" s="90" t="s">
        <v>221</v>
      </c>
      <c r="C16" s="88">
        <v>378335</v>
      </c>
      <c r="D16" s="73"/>
      <c r="E16" s="73"/>
      <c r="F16" s="73"/>
      <c r="G16" s="73"/>
      <c r="H16" s="73">
        <v>378335</v>
      </c>
      <c r="I16" s="73">
        <f aca="true" t="shared" si="1" ref="I16:I25">C16+E16+G16-D16-F16-H16</f>
        <v>0</v>
      </c>
      <c r="J16" s="73"/>
    </row>
    <row r="17" spans="1:10" s="1" customFormat="1" ht="24.75" customHeight="1">
      <c r="A17" s="89" t="s">
        <v>15</v>
      </c>
      <c r="B17" s="90" t="s">
        <v>167</v>
      </c>
      <c r="C17" s="88">
        <v>2914330</v>
      </c>
      <c r="D17" s="73"/>
      <c r="E17" s="73"/>
      <c r="F17" s="73"/>
      <c r="G17" s="73"/>
      <c r="H17" s="73">
        <v>2914330</v>
      </c>
      <c r="I17" s="73">
        <f t="shared" si="1"/>
        <v>0</v>
      </c>
      <c r="J17" s="73"/>
    </row>
    <row r="18" spans="1:10" s="1" customFormat="1" ht="24.75" customHeight="1">
      <c r="A18" s="89" t="s">
        <v>168</v>
      </c>
      <c r="B18" s="90" t="s">
        <v>169</v>
      </c>
      <c r="C18" s="88">
        <v>1169917</v>
      </c>
      <c r="D18" s="73"/>
      <c r="E18" s="73"/>
      <c r="F18" s="73"/>
      <c r="G18" s="73"/>
      <c r="H18" s="73">
        <v>1169917</v>
      </c>
      <c r="I18" s="73">
        <f t="shared" si="1"/>
        <v>0</v>
      </c>
      <c r="J18" s="73"/>
    </row>
    <row r="19" spans="1:10" s="1" customFormat="1" ht="24.75" customHeight="1">
      <c r="A19" s="89" t="s">
        <v>168</v>
      </c>
      <c r="B19" s="90" t="s">
        <v>170</v>
      </c>
      <c r="C19" s="88">
        <v>510460</v>
      </c>
      <c r="D19" s="73"/>
      <c r="E19" s="73"/>
      <c r="F19" s="73"/>
      <c r="G19" s="73"/>
      <c r="H19" s="73">
        <v>510460</v>
      </c>
      <c r="I19" s="73">
        <f t="shared" si="1"/>
        <v>0</v>
      </c>
      <c r="J19" s="73"/>
    </row>
    <row r="20" spans="1:10" s="1" customFormat="1" ht="24.75" customHeight="1">
      <c r="A20" s="89" t="s">
        <v>171</v>
      </c>
      <c r="B20" s="90" t="s">
        <v>172</v>
      </c>
      <c r="C20" s="88">
        <v>3721345</v>
      </c>
      <c r="D20" s="73"/>
      <c r="E20" s="73"/>
      <c r="F20" s="73"/>
      <c r="G20" s="73"/>
      <c r="H20" s="73">
        <v>3721345</v>
      </c>
      <c r="I20" s="73">
        <f t="shared" si="1"/>
        <v>0</v>
      </c>
      <c r="J20" s="73"/>
    </row>
    <row r="21" spans="1:10" s="1" customFormat="1" ht="24.75" customHeight="1">
      <c r="A21" s="89" t="s">
        <v>171</v>
      </c>
      <c r="B21" s="90" t="s">
        <v>173</v>
      </c>
      <c r="C21" s="88">
        <v>288000</v>
      </c>
      <c r="D21" s="73"/>
      <c r="E21" s="73"/>
      <c r="F21" s="73"/>
      <c r="G21" s="73"/>
      <c r="H21" s="73">
        <v>288000</v>
      </c>
      <c r="I21" s="73">
        <f t="shared" si="1"/>
        <v>0</v>
      </c>
      <c r="J21" s="73"/>
    </row>
    <row r="22" spans="1:10" s="1" customFormat="1" ht="24.75" customHeight="1">
      <c r="A22" s="89" t="s">
        <v>9</v>
      </c>
      <c r="B22" s="90" t="s">
        <v>174</v>
      </c>
      <c r="C22" s="88">
        <v>140802.5</v>
      </c>
      <c r="D22" s="73"/>
      <c r="E22" s="73">
        <v>894100</v>
      </c>
      <c r="F22" s="73"/>
      <c r="G22" s="73"/>
      <c r="H22" s="73">
        <v>1034902.5</v>
      </c>
      <c r="I22" s="73">
        <f t="shared" si="1"/>
        <v>0</v>
      </c>
      <c r="J22" s="73"/>
    </row>
    <row r="23" spans="1:10" s="1" customFormat="1" ht="24.75" customHeight="1">
      <c r="A23" s="89" t="s">
        <v>10</v>
      </c>
      <c r="B23" s="90" t="s">
        <v>176</v>
      </c>
      <c r="C23" s="88">
        <v>710107.35</v>
      </c>
      <c r="D23" s="73"/>
      <c r="E23" s="73">
        <v>6600</v>
      </c>
      <c r="F23" s="73"/>
      <c r="G23" s="73"/>
      <c r="H23" s="73">
        <v>716707.35</v>
      </c>
      <c r="I23" s="73">
        <f t="shared" si="1"/>
        <v>0</v>
      </c>
      <c r="J23" s="73"/>
    </row>
    <row r="24" spans="1:10" s="1" customFormat="1" ht="24.75" customHeight="1">
      <c r="A24" s="89" t="s">
        <v>10</v>
      </c>
      <c r="B24" s="90" t="s">
        <v>177</v>
      </c>
      <c r="C24" s="88">
        <v>390015</v>
      </c>
      <c r="D24" s="73"/>
      <c r="E24" s="73"/>
      <c r="F24" s="73"/>
      <c r="G24" s="73"/>
      <c r="H24" s="73">
        <v>390015</v>
      </c>
      <c r="I24" s="73">
        <f t="shared" si="1"/>
        <v>0</v>
      </c>
      <c r="J24" s="73"/>
    </row>
    <row r="25" spans="1:10" s="1" customFormat="1" ht="25.5" customHeight="1">
      <c r="A25" s="89" t="s">
        <v>11</v>
      </c>
      <c r="B25" s="90" t="s">
        <v>179</v>
      </c>
      <c r="C25" s="88">
        <v>756974.62</v>
      </c>
      <c r="D25" s="73"/>
      <c r="E25" s="73"/>
      <c r="F25" s="73"/>
      <c r="G25" s="73"/>
      <c r="H25" s="73">
        <v>756974.62</v>
      </c>
      <c r="I25" s="73">
        <f t="shared" si="1"/>
        <v>0</v>
      </c>
      <c r="J25" s="73"/>
    </row>
    <row r="27" ht="23.25" customHeight="1"/>
    <row r="28" spans="1:10" s="19" customFormat="1" ht="25.5" customHeight="1">
      <c r="A28" s="63"/>
      <c r="B28" s="64" t="s">
        <v>2</v>
      </c>
      <c r="C28" s="304" t="s">
        <v>241</v>
      </c>
      <c r="D28" s="305"/>
      <c r="E28" s="304" t="s">
        <v>242</v>
      </c>
      <c r="F28" s="306"/>
      <c r="G28" s="304" t="s">
        <v>242</v>
      </c>
      <c r="H28" s="306"/>
      <c r="I28" s="307" t="s">
        <v>243</v>
      </c>
      <c r="J28" s="308"/>
    </row>
    <row r="29" spans="1:10" s="19" customFormat="1" ht="25.5" customHeight="1">
      <c r="A29" s="66" t="s">
        <v>3</v>
      </c>
      <c r="B29" s="67"/>
      <c r="C29" s="301" t="s">
        <v>244</v>
      </c>
      <c r="D29" s="302"/>
      <c r="E29" s="301" t="s">
        <v>245</v>
      </c>
      <c r="F29" s="303"/>
      <c r="G29" s="301" t="s">
        <v>246</v>
      </c>
      <c r="H29" s="303"/>
      <c r="I29" s="301" t="s">
        <v>244</v>
      </c>
      <c r="J29" s="303"/>
    </row>
    <row r="30" spans="1:10" s="19" customFormat="1" ht="25.5" customHeight="1">
      <c r="A30" s="65"/>
      <c r="B30" s="69"/>
      <c r="C30" s="68" t="s">
        <v>4</v>
      </c>
      <c r="D30" s="70" t="s">
        <v>5</v>
      </c>
      <c r="E30" s="71" t="s">
        <v>4</v>
      </c>
      <c r="F30" s="70" t="s">
        <v>5</v>
      </c>
      <c r="G30" s="72" t="s">
        <v>4</v>
      </c>
      <c r="H30" s="70" t="s">
        <v>5</v>
      </c>
      <c r="I30" s="72" t="s">
        <v>4</v>
      </c>
      <c r="J30" s="70" t="s">
        <v>5</v>
      </c>
    </row>
    <row r="31" spans="1:10" s="1" customFormat="1" ht="25.5" customHeight="1">
      <c r="A31" s="89" t="s">
        <v>11</v>
      </c>
      <c r="B31" s="90" t="s">
        <v>180</v>
      </c>
      <c r="C31" s="88">
        <v>263213.64</v>
      </c>
      <c r="D31" s="73"/>
      <c r="E31" s="73">
        <v>58349.76</v>
      </c>
      <c r="F31" s="73"/>
      <c r="G31" s="73"/>
      <c r="H31" s="73">
        <v>321563.4</v>
      </c>
      <c r="I31" s="73">
        <f aca="true" t="shared" si="2" ref="I31:I43">C31+E31+G31-D31-F31-H31</f>
        <v>0</v>
      </c>
      <c r="J31" s="73"/>
    </row>
    <row r="32" spans="1:10" s="1" customFormat="1" ht="25.5" customHeight="1">
      <c r="A32" s="89" t="s">
        <v>11</v>
      </c>
      <c r="B32" s="90" t="s">
        <v>181</v>
      </c>
      <c r="C32" s="88">
        <v>67995</v>
      </c>
      <c r="D32" s="73"/>
      <c r="E32" s="73"/>
      <c r="F32" s="73"/>
      <c r="G32" s="73"/>
      <c r="H32" s="73">
        <v>67995</v>
      </c>
      <c r="I32" s="73">
        <f t="shared" si="2"/>
        <v>0</v>
      </c>
      <c r="J32" s="73"/>
    </row>
    <row r="33" spans="1:10" s="1" customFormat="1" ht="25.5" customHeight="1">
      <c r="A33" s="89" t="s">
        <v>12</v>
      </c>
      <c r="B33" s="90" t="s">
        <v>182</v>
      </c>
      <c r="C33" s="88">
        <v>287301.2</v>
      </c>
      <c r="D33" s="73"/>
      <c r="E33" s="73"/>
      <c r="F33" s="73"/>
      <c r="G33" s="73"/>
      <c r="H33" s="73">
        <v>287301.2</v>
      </c>
      <c r="I33" s="73">
        <f t="shared" si="2"/>
        <v>0</v>
      </c>
      <c r="J33" s="73"/>
    </row>
    <row r="34" spans="1:10" s="1" customFormat="1" ht="25.5" customHeight="1">
      <c r="A34" s="89" t="s">
        <v>12</v>
      </c>
      <c r="B34" s="90" t="s">
        <v>183</v>
      </c>
      <c r="C34" s="88">
        <v>91417.36</v>
      </c>
      <c r="D34" s="73"/>
      <c r="E34" s="73"/>
      <c r="F34" s="73"/>
      <c r="G34" s="73"/>
      <c r="H34" s="73">
        <v>91417.36</v>
      </c>
      <c r="I34" s="73">
        <f t="shared" si="2"/>
        <v>0</v>
      </c>
      <c r="J34" s="73"/>
    </row>
    <row r="35" spans="1:10" s="1" customFormat="1" ht="25.5" customHeight="1">
      <c r="A35" s="89" t="s">
        <v>12</v>
      </c>
      <c r="B35" s="90" t="s">
        <v>184</v>
      </c>
      <c r="C35" s="88">
        <v>304682.33</v>
      </c>
      <c r="D35" s="73"/>
      <c r="E35" s="73"/>
      <c r="F35" s="73"/>
      <c r="G35" s="73"/>
      <c r="H35" s="73">
        <v>304682.33</v>
      </c>
      <c r="I35" s="73">
        <f t="shared" si="2"/>
        <v>0</v>
      </c>
      <c r="J35" s="73"/>
    </row>
    <row r="36" spans="1:10" s="1" customFormat="1" ht="25.5" customHeight="1">
      <c r="A36" s="89" t="s">
        <v>13</v>
      </c>
      <c r="B36" s="90" t="s">
        <v>185</v>
      </c>
      <c r="C36" s="88">
        <v>90775.35</v>
      </c>
      <c r="D36" s="73"/>
      <c r="E36" s="73"/>
      <c r="F36" s="73"/>
      <c r="G36" s="73"/>
      <c r="H36" s="73">
        <v>90775.35</v>
      </c>
      <c r="I36" s="73">
        <f t="shared" si="2"/>
        <v>0</v>
      </c>
      <c r="J36" s="73"/>
    </row>
    <row r="37" spans="1:10" s="1" customFormat="1" ht="25.5" customHeight="1">
      <c r="A37" s="89" t="s">
        <v>13</v>
      </c>
      <c r="B37" s="90" t="s">
        <v>186</v>
      </c>
      <c r="C37" s="88">
        <v>13290</v>
      </c>
      <c r="D37" s="73"/>
      <c r="E37" s="73"/>
      <c r="F37" s="73"/>
      <c r="G37" s="73"/>
      <c r="H37" s="73">
        <v>13290</v>
      </c>
      <c r="I37" s="73">
        <f t="shared" si="2"/>
        <v>0</v>
      </c>
      <c r="J37" s="73"/>
    </row>
    <row r="38" spans="1:10" s="1" customFormat="1" ht="25.5" customHeight="1">
      <c r="A38" s="89" t="s">
        <v>14</v>
      </c>
      <c r="B38" s="90" t="s">
        <v>222</v>
      </c>
      <c r="C38" s="88">
        <v>0</v>
      </c>
      <c r="D38" s="73"/>
      <c r="E38" s="73">
        <v>216900</v>
      </c>
      <c r="F38" s="73"/>
      <c r="G38" s="73"/>
      <c r="H38" s="73">
        <v>216900</v>
      </c>
      <c r="I38" s="73">
        <f t="shared" si="2"/>
        <v>0</v>
      </c>
      <c r="J38" s="73"/>
    </row>
    <row r="39" spans="1:10" s="1" customFormat="1" ht="25.5" customHeight="1">
      <c r="A39" s="89" t="s">
        <v>14</v>
      </c>
      <c r="B39" s="90" t="s">
        <v>187</v>
      </c>
      <c r="C39" s="88">
        <v>2003400</v>
      </c>
      <c r="D39" s="73"/>
      <c r="E39" s="73"/>
      <c r="F39" s="73"/>
      <c r="G39" s="73"/>
      <c r="H39" s="73">
        <v>2003400</v>
      </c>
      <c r="I39" s="73">
        <f t="shared" si="2"/>
        <v>0</v>
      </c>
      <c r="J39" s="73"/>
    </row>
    <row r="40" spans="1:10" s="1" customFormat="1" ht="25.5" customHeight="1">
      <c r="A40" s="89" t="s">
        <v>16</v>
      </c>
      <c r="B40" s="90" t="s">
        <v>188</v>
      </c>
      <c r="C40" s="88">
        <v>23000</v>
      </c>
      <c r="D40" s="73"/>
      <c r="E40" s="73"/>
      <c r="F40" s="73"/>
      <c r="G40" s="73"/>
      <c r="H40" s="73">
        <v>23000</v>
      </c>
      <c r="I40" s="73">
        <f t="shared" si="2"/>
        <v>0</v>
      </c>
      <c r="J40" s="73"/>
    </row>
    <row r="41" spans="1:10" s="1" customFormat="1" ht="25.5" customHeight="1">
      <c r="A41" s="89" t="s">
        <v>16</v>
      </c>
      <c r="B41" s="90" t="s">
        <v>189</v>
      </c>
      <c r="C41" s="88">
        <v>498000</v>
      </c>
      <c r="D41" s="73"/>
      <c r="E41" s="73"/>
      <c r="F41" s="73"/>
      <c r="G41" s="73"/>
      <c r="H41" s="73">
        <v>498000</v>
      </c>
      <c r="I41" s="73">
        <f t="shared" si="2"/>
        <v>0</v>
      </c>
      <c r="J41" s="73"/>
    </row>
    <row r="42" spans="1:10" s="1" customFormat="1" ht="25.5" customHeight="1">
      <c r="A42" s="89" t="s">
        <v>16</v>
      </c>
      <c r="B42" s="90" t="s">
        <v>190</v>
      </c>
      <c r="C42" s="88">
        <v>30000</v>
      </c>
      <c r="D42" s="73"/>
      <c r="E42" s="73"/>
      <c r="F42" s="73"/>
      <c r="G42" s="73"/>
      <c r="H42" s="73">
        <v>30000</v>
      </c>
      <c r="I42" s="73">
        <f t="shared" si="2"/>
        <v>0</v>
      </c>
      <c r="J42" s="73"/>
    </row>
    <row r="43" spans="1:10" s="1" customFormat="1" ht="25.5" customHeight="1">
      <c r="A43" s="89" t="s">
        <v>57</v>
      </c>
      <c r="B43" s="90" t="s">
        <v>191</v>
      </c>
      <c r="C43" s="88">
        <v>737834</v>
      </c>
      <c r="D43" s="73"/>
      <c r="E43" s="73"/>
      <c r="F43" s="73"/>
      <c r="G43" s="73"/>
      <c r="H43" s="73">
        <v>737834</v>
      </c>
      <c r="I43" s="73">
        <f t="shared" si="2"/>
        <v>0</v>
      </c>
      <c r="J43" s="73"/>
    </row>
    <row r="44" spans="1:10" s="1" customFormat="1" ht="25.5" customHeight="1">
      <c r="A44" s="89" t="s">
        <v>53</v>
      </c>
      <c r="B44" s="90" t="s">
        <v>192</v>
      </c>
      <c r="C44" s="88"/>
      <c r="D44" s="73">
        <v>6118380.47</v>
      </c>
      <c r="E44" s="73"/>
      <c r="F44" s="73"/>
      <c r="G44" s="73"/>
      <c r="H44" s="73">
        <v>783190.58</v>
      </c>
      <c r="I44" s="73"/>
      <c r="J44" s="73">
        <f aca="true" t="shared" si="3" ref="J44:J49">D44+F44+H44-E44-G44-I44</f>
        <v>6901571.05</v>
      </c>
    </row>
    <row r="45" spans="1:10" s="1" customFormat="1" ht="25.5" customHeight="1">
      <c r="A45" s="89" t="s">
        <v>17</v>
      </c>
      <c r="B45" s="90" t="s">
        <v>193</v>
      </c>
      <c r="C45" s="88"/>
      <c r="D45" s="73">
        <v>19872134.35</v>
      </c>
      <c r="E45" s="73"/>
      <c r="F45" s="73"/>
      <c r="G45" s="73">
        <v>19872134.35</v>
      </c>
      <c r="H45" s="73"/>
      <c r="I45" s="73"/>
      <c r="J45" s="73">
        <f t="shared" si="3"/>
        <v>0</v>
      </c>
    </row>
    <row r="46" spans="1:10" s="1" customFormat="1" ht="25.5" customHeight="1">
      <c r="A46" s="89" t="s">
        <v>18</v>
      </c>
      <c r="B46" s="90" t="s">
        <v>194</v>
      </c>
      <c r="C46" s="88"/>
      <c r="D46" s="73">
        <v>0</v>
      </c>
      <c r="E46" s="73"/>
      <c r="F46" s="73">
        <f>58349.76+6600+216900</f>
        <v>281849.76</v>
      </c>
      <c r="G46" s="73"/>
      <c r="H46" s="73"/>
      <c r="I46" s="73"/>
      <c r="J46" s="73">
        <f t="shared" si="3"/>
        <v>281849.76</v>
      </c>
    </row>
    <row r="47" spans="1:10" s="1" customFormat="1" ht="25.5" customHeight="1">
      <c r="A47" s="89" t="s">
        <v>54</v>
      </c>
      <c r="B47" s="90" t="s">
        <v>195</v>
      </c>
      <c r="C47" s="88"/>
      <c r="D47" s="73">
        <v>724562</v>
      </c>
      <c r="E47" s="73">
        <v>724562</v>
      </c>
      <c r="F47" s="73">
        <v>894100</v>
      </c>
      <c r="G47" s="73"/>
      <c r="H47" s="73"/>
      <c r="I47" s="73"/>
      <c r="J47" s="73">
        <f t="shared" si="3"/>
        <v>894100</v>
      </c>
    </row>
    <row r="48" spans="1:10" s="1" customFormat="1" ht="25.5" customHeight="1">
      <c r="A48" s="89" t="s">
        <v>20</v>
      </c>
      <c r="B48" s="90" t="s">
        <v>196</v>
      </c>
      <c r="C48" s="88"/>
      <c r="D48" s="73">
        <v>11538619.44</v>
      </c>
      <c r="E48" s="73">
        <v>63167.8</v>
      </c>
      <c r="F48" s="73">
        <f>724562+73769</f>
        <v>798331</v>
      </c>
      <c r="G48" s="73"/>
      <c r="H48" s="73">
        <f>2349571.75+172226.91</f>
        <v>2521798.66</v>
      </c>
      <c r="I48" s="73"/>
      <c r="J48" s="73">
        <f t="shared" si="3"/>
        <v>14795581.299999999</v>
      </c>
    </row>
    <row r="49" spans="1:10" s="1" customFormat="1" ht="25.5" customHeight="1">
      <c r="A49" s="89" t="s">
        <v>50</v>
      </c>
      <c r="B49" s="90" t="s">
        <v>197</v>
      </c>
      <c r="C49" s="88"/>
      <c r="D49" s="73">
        <v>619238.77</v>
      </c>
      <c r="E49" s="73"/>
      <c r="F49" s="73"/>
      <c r="G49" s="73"/>
      <c r="H49" s="73"/>
      <c r="I49" s="73"/>
      <c r="J49" s="73">
        <f t="shared" si="3"/>
        <v>619238.77</v>
      </c>
    </row>
    <row r="50" spans="1:10" s="77" customFormat="1" ht="27" customHeight="1" thickBot="1">
      <c r="A50" s="75"/>
      <c r="B50" s="76"/>
      <c r="C50" s="94">
        <f>SUM(C6:C49)</f>
        <v>38872935.03</v>
      </c>
      <c r="D50" s="94">
        <f>SUM(D44:D49)</f>
        <v>38872935.03</v>
      </c>
      <c r="E50" s="94">
        <f aca="true" t="shared" si="4" ref="E50:J50">SUM(E6:E49)</f>
        <v>2037448.56</v>
      </c>
      <c r="F50" s="94">
        <f t="shared" si="4"/>
        <v>2037448.56</v>
      </c>
      <c r="G50" s="94">
        <f t="shared" si="4"/>
        <v>19872134.35</v>
      </c>
      <c r="H50" s="94">
        <f t="shared" si="4"/>
        <v>19872134.349999998</v>
      </c>
      <c r="I50" s="94">
        <f t="shared" si="4"/>
        <v>23492340.88</v>
      </c>
      <c r="J50" s="94">
        <f t="shared" si="4"/>
        <v>23492340.88</v>
      </c>
    </row>
    <row r="51" spans="1:10" s="62" customFormat="1" ht="24.75" customHeight="1" thickTop="1">
      <c r="A51" s="78"/>
      <c r="B51" s="79"/>
      <c r="C51" s="80"/>
      <c r="D51" s="80">
        <f>C50-D50</f>
        <v>0</v>
      </c>
      <c r="E51" s="80"/>
      <c r="F51" s="80">
        <f>E50-F50</f>
        <v>0</v>
      </c>
      <c r="G51" s="80"/>
      <c r="H51" s="80">
        <f>G50-H50</f>
        <v>0</v>
      </c>
      <c r="I51" s="80"/>
      <c r="J51" s="80">
        <f>I50-J50</f>
        <v>0</v>
      </c>
    </row>
    <row r="52" spans="1:10" s="62" customFormat="1" ht="24" customHeight="1">
      <c r="A52" s="18"/>
      <c r="B52" s="79"/>
      <c r="C52" s="80"/>
      <c r="D52" s="80"/>
      <c r="E52" s="80"/>
      <c r="F52" s="80"/>
      <c r="G52" s="80"/>
      <c r="H52" s="80"/>
      <c r="I52" s="80"/>
      <c r="J52" s="80"/>
    </row>
    <row r="53" spans="1:10" s="62" customFormat="1" ht="23.25" customHeight="1">
      <c r="A53" s="18"/>
      <c r="B53" s="81"/>
      <c r="E53" s="300"/>
      <c r="F53" s="300"/>
      <c r="G53" s="82"/>
      <c r="H53" s="300"/>
      <c r="I53" s="300"/>
      <c r="J53" s="82"/>
    </row>
    <row r="54" spans="1:9" ht="23.25" customHeight="1">
      <c r="A54" s="18"/>
      <c r="B54" s="17"/>
      <c r="C54" s="17"/>
      <c r="E54" s="17"/>
      <c r="F54" s="17"/>
      <c r="H54" s="17"/>
      <c r="I54" s="17"/>
    </row>
    <row r="55" spans="1:9" ht="23.25" customHeight="1">
      <c r="A55" s="18"/>
      <c r="B55" s="17"/>
      <c r="C55" s="17"/>
      <c r="E55" s="17"/>
      <c r="F55" s="17"/>
      <c r="H55" s="17"/>
      <c r="I55" s="17"/>
    </row>
    <row r="56" spans="1:9" ht="24" customHeight="1">
      <c r="A56" s="83"/>
      <c r="B56" s="296"/>
      <c r="C56" s="296"/>
      <c r="E56" s="296"/>
      <c r="F56" s="296"/>
      <c r="H56" s="296"/>
      <c r="I56" s="296"/>
    </row>
    <row r="57" spans="1:9" ht="24" customHeight="1">
      <c r="A57" s="46"/>
      <c r="B57" s="296"/>
      <c r="C57" s="296"/>
      <c r="E57" s="298"/>
      <c r="F57" s="298"/>
      <c r="H57" s="299"/>
      <c r="I57" s="299"/>
    </row>
    <row r="58" spans="1:3" ht="15" customHeight="1">
      <c r="A58" s="84"/>
      <c r="B58" s="85"/>
      <c r="C58" s="20"/>
    </row>
    <row r="59" spans="1:3" ht="15" customHeight="1">
      <c r="A59" s="84"/>
      <c r="B59" s="85"/>
      <c r="C59" s="20"/>
    </row>
    <row r="60" spans="1:3" ht="15" customHeight="1">
      <c r="A60" s="86"/>
      <c r="B60" s="87"/>
      <c r="C60" s="20"/>
    </row>
    <row r="61" spans="1:3" ht="15" customHeight="1">
      <c r="A61" s="86"/>
      <c r="B61" s="87"/>
      <c r="C61" s="20"/>
    </row>
    <row r="62" spans="1:3" ht="15" customHeight="1">
      <c r="A62" s="18"/>
      <c r="B62" s="18"/>
      <c r="C62" s="20"/>
    </row>
    <row r="63" spans="1:3" ht="15" customHeight="1">
      <c r="A63" s="18"/>
      <c r="B63" s="293"/>
      <c r="C63" s="293"/>
    </row>
    <row r="64" spans="1:3" ht="15" customHeight="1">
      <c r="A64" s="30"/>
      <c r="B64" s="277"/>
      <c r="C64" s="277"/>
    </row>
  </sheetData>
  <sheetProtection/>
  <mergeCells count="28">
    <mergeCell ref="C4:D4"/>
    <mergeCell ref="E4:F4"/>
    <mergeCell ref="G4:H4"/>
    <mergeCell ref="I4:J4"/>
    <mergeCell ref="A1:J1"/>
    <mergeCell ref="A2:J2"/>
    <mergeCell ref="C3:D3"/>
    <mergeCell ref="E3:F3"/>
    <mergeCell ref="G3:H3"/>
    <mergeCell ref="I3:J3"/>
    <mergeCell ref="C29:D29"/>
    <mergeCell ref="E29:F29"/>
    <mergeCell ref="G29:H29"/>
    <mergeCell ref="I29:J29"/>
    <mergeCell ref="C28:D28"/>
    <mergeCell ref="E28:F28"/>
    <mergeCell ref="G28:H28"/>
    <mergeCell ref="I28:J28"/>
    <mergeCell ref="B64:C64"/>
    <mergeCell ref="B57:C57"/>
    <mergeCell ref="E57:F57"/>
    <mergeCell ref="H57:I57"/>
    <mergeCell ref="B63:C63"/>
    <mergeCell ref="E53:F53"/>
    <mergeCell ref="H53:I53"/>
    <mergeCell ref="B56:C56"/>
    <mergeCell ref="E56:F56"/>
    <mergeCell ref="H56:I56"/>
  </mergeCells>
  <printOptions/>
  <pageMargins left="0.35433070866141736" right="0.1968503937007874" top="0.5905511811023623" bottom="0.3937007874015748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F21" sqref="F21"/>
    </sheetView>
  </sheetViews>
  <sheetFormatPr defaultColWidth="9.140625" defaultRowHeight="12.75"/>
  <cols>
    <col min="1" max="1" width="44.00390625" style="1" customWidth="1"/>
    <col min="2" max="2" width="10.7109375" style="2" customWidth="1"/>
    <col min="3" max="3" width="18.00390625" style="3" customWidth="1"/>
    <col min="4" max="4" width="18.140625" style="3" customWidth="1"/>
    <col min="5" max="5" width="14.00390625" style="1" customWidth="1"/>
    <col min="6" max="6" width="15.7109375" style="1" customWidth="1"/>
    <col min="7" max="7" width="11.28125" style="1" bestFit="1" customWidth="1"/>
    <col min="8" max="8" width="9.28125" style="1" bestFit="1" customWidth="1"/>
    <col min="9" max="16384" width="9.140625" style="1" customWidth="1"/>
  </cols>
  <sheetData>
    <row r="1" spans="1:4" ht="27.75" customHeight="1">
      <c r="A1" s="272" t="s">
        <v>98</v>
      </c>
      <c r="B1" s="272"/>
      <c r="C1" s="272"/>
      <c r="D1" s="272"/>
    </row>
    <row r="2" spans="1:4" ht="27.75" customHeight="1">
      <c r="A2" s="272" t="s">
        <v>70</v>
      </c>
      <c r="B2" s="272"/>
      <c r="C2" s="272"/>
      <c r="D2" s="272"/>
    </row>
    <row r="3" spans="1:4" ht="27.75" customHeight="1">
      <c r="A3" s="312" t="s">
        <v>248</v>
      </c>
      <c r="B3" s="312"/>
      <c r="C3" s="312"/>
      <c r="D3" s="312"/>
    </row>
    <row r="4" spans="1:4" ht="27.75" customHeight="1">
      <c r="A4" s="313" t="s">
        <v>3</v>
      </c>
      <c r="B4" s="314" t="s">
        <v>2</v>
      </c>
      <c r="C4" s="316" t="s">
        <v>4</v>
      </c>
      <c r="D4" s="315" t="s">
        <v>5</v>
      </c>
    </row>
    <row r="5" spans="1:4" ht="4.5" customHeight="1">
      <c r="A5" s="313"/>
      <c r="B5" s="314"/>
      <c r="C5" s="316"/>
      <c r="D5" s="315"/>
    </row>
    <row r="6" spans="1:4" s="18" customFormat="1" ht="27.75" customHeight="1">
      <c r="A6" s="266" t="s">
        <v>6</v>
      </c>
      <c r="B6" s="90" t="s">
        <v>156</v>
      </c>
      <c r="C6" s="134">
        <f>67.5-67.5</f>
        <v>0</v>
      </c>
      <c r="D6" s="267"/>
    </row>
    <row r="7" spans="1:4" s="18" customFormat="1" ht="27.75" customHeight="1">
      <c r="A7" s="266" t="s">
        <v>58</v>
      </c>
      <c r="B7" s="90" t="s">
        <v>157</v>
      </c>
      <c r="C7" s="134">
        <f>300084.37+261756.24-303428.57+1619014.27-1638325.39+5713021.56-5238672.49+719377.1-1095449.99+1750540.6-1062925.7+2263657.57-1024992+1255279.12-2504596.57+352578.04-1310267.22+1815745.22-1100120.35+1099690.46-1831682.04+1380209.37+1101852.31-2522345.91</f>
        <v>0</v>
      </c>
      <c r="D7" s="267"/>
    </row>
    <row r="8" spans="1:6" s="18" customFormat="1" ht="27.75" customHeight="1">
      <c r="A8" s="266" t="s">
        <v>59</v>
      </c>
      <c r="B8" s="90" t="s">
        <v>158</v>
      </c>
      <c r="C8" s="134">
        <f>8793734.45+1100120.35+105781.4-2378399.24+55864.74+1831682.04-1538209.26+45543.8-893687.26+90442.6+2522345.91-3560733.89</f>
        <v>6174485.639999997</v>
      </c>
      <c r="D8" s="267"/>
      <c r="F8" s="22">
        <f>SUM(C8:C14)</f>
        <v>23418571.879999995</v>
      </c>
    </row>
    <row r="9" spans="1:6" s="18" customFormat="1" ht="27.75" customHeight="1">
      <c r="A9" s="266" t="s">
        <v>60</v>
      </c>
      <c r="B9" s="90" t="s">
        <v>158</v>
      </c>
      <c r="C9" s="134">
        <f>13310.57+33.55+65107-65000+82.25</f>
        <v>13533.369999999995</v>
      </c>
      <c r="D9" s="267"/>
      <c r="F9" s="22">
        <f>SUM(C6:C15)</f>
        <v>23492340.879999995</v>
      </c>
    </row>
    <row r="10" spans="1:6" s="18" customFormat="1" ht="27.75" customHeight="1">
      <c r="A10" s="266" t="s">
        <v>128</v>
      </c>
      <c r="B10" s="90" t="s">
        <v>159</v>
      </c>
      <c r="C10" s="134">
        <f>4381446.53+5238672.49+98582.55</f>
        <v>9718701.57</v>
      </c>
      <c r="D10" s="267"/>
      <c r="F10" s="17">
        <f>SUM(D16:D20)</f>
        <v>23492340.88</v>
      </c>
    </row>
    <row r="11" spans="1:6" s="18" customFormat="1" ht="27.75" customHeight="1">
      <c r="A11" s="266" t="s">
        <v>132</v>
      </c>
      <c r="B11" s="90" t="s">
        <v>159</v>
      </c>
      <c r="C11" s="134">
        <f>4089896.34+19380.51+19472.34+17306.81+14471.44</f>
        <v>4160527.4399999995</v>
      </c>
      <c r="D11" s="267"/>
      <c r="F11" s="22">
        <f>F9-F10</f>
        <v>0</v>
      </c>
    </row>
    <row r="12" spans="1:5" s="18" customFormat="1" ht="27.75" customHeight="1">
      <c r="A12" s="266" t="s">
        <v>61</v>
      </c>
      <c r="B12" s="90" t="s">
        <v>158</v>
      </c>
      <c r="C12" s="134">
        <f>236626.57+20786.49+769.24+16027+12091+680.28</f>
        <v>286980.58</v>
      </c>
      <c r="D12" s="267"/>
      <c r="E12" s="22"/>
    </row>
    <row r="13" spans="1:4" s="18" customFormat="1" ht="27.75" customHeight="1">
      <c r="A13" s="266" t="s">
        <v>160</v>
      </c>
      <c r="B13" s="90" t="s">
        <v>158</v>
      </c>
      <c r="C13" s="134">
        <f>2000000+5400-242400+600-248400+1699.63-242400-242400-242400-241800-239300-246100+1843.65</f>
        <v>64343.27999999989</v>
      </c>
      <c r="D13" s="267"/>
    </row>
    <row r="14" spans="1:5" s="18" customFormat="1" ht="27.75" customHeight="1">
      <c r="A14" s="266" t="s">
        <v>161</v>
      </c>
      <c r="B14" s="90" t="s">
        <v>158</v>
      </c>
      <c r="C14" s="134">
        <v>3000000</v>
      </c>
      <c r="D14" s="267"/>
      <c r="E14" s="22"/>
    </row>
    <row r="15" spans="1:4" s="18" customFormat="1" ht="27.75" customHeight="1">
      <c r="A15" s="266" t="s">
        <v>8</v>
      </c>
      <c r="B15" s="90" t="s">
        <v>166</v>
      </c>
      <c r="C15" s="134">
        <f>กระดาษทำการ!I15</f>
        <v>73768.99999999999</v>
      </c>
      <c r="D15" s="267"/>
    </row>
    <row r="16" spans="1:5" s="18" customFormat="1" ht="27.75" customHeight="1">
      <c r="A16" s="266" t="s">
        <v>18</v>
      </c>
      <c r="B16" s="90" t="s">
        <v>194</v>
      </c>
      <c r="C16" s="134"/>
      <c r="D16" s="267">
        <f>กระดาษทำการ!J46</f>
        <v>281849.76</v>
      </c>
      <c r="E16" s="22"/>
    </row>
    <row r="17" spans="1:4" s="18" customFormat="1" ht="27.75" customHeight="1">
      <c r="A17" s="266" t="s">
        <v>54</v>
      </c>
      <c r="B17" s="90" t="s">
        <v>195</v>
      </c>
      <c r="C17" s="134"/>
      <c r="D17" s="267">
        <f>กระดาษทำการ!J47</f>
        <v>894100</v>
      </c>
    </row>
    <row r="18" spans="1:6" s="18" customFormat="1" ht="27.75" customHeight="1">
      <c r="A18" s="266" t="s">
        <v>20</v>
      </c>
      <c r="B18" s="90" t="s">
        <v>196</v>
      </c>
      <c r="C18" s="134"/>
      <c r="D18" s="267">
        <f>กระดาษทำการ!J48</f>
        <v>14795581.299999999</v>
      </c>
      <c r="F18" s="17"/>
    </row>
    <row r="19" spans="1:5" s="18" customFormat="1" ht="27.75" customHeight="1">
      <c r="A19" s="266" t="s">
        <v>53</v>
      </c>
      <c r="B19" s="90" t="s">
        <v>192</v>
      </c>
      <c r="C19" s="134"/>
      <c r="D19" s="267">
        <f>กระดาษทำการ!J44</f>
        <v>6901571.05</v>
      </c>
      <c r="E19" s="22"/>
    </row>
    <row r="20" spans="1:4" s="18" customFormat="1" ht="27.75" customHeight="1">
      <c r="A20" s="266" t="s">
        <v>50</v>
      </c>
      <c r="B20" s="90" t="s">
        <v>197</v>
      </c>
      <c r="C20" s="134"/>
      <c r="D20" s="267">
        <f>กระดาษทำการ!J49</f>
        <v>619238.77</v>
      </c>
    </row>
    <row r="21" spans="1:5" s="18" customFormat="1" ht="27.75" customHeight="1">
      <c r="A21" s="91"/>
      <c r="B21" s="92"/>
      <c r="C21" s="268">
        <f>SUM(C6:C20)</f>
        <v>23492340.879999995</v>
      </c>
      <c r="D21" s="268">
        <f>SUM(D14:D20)</f>
        <v>23492340.88</v>
      </c>
      <c r="E21" s="22">
        <f>C21-D21</f>
        <v>0</v>
      </c>
    </row>
    <row r="22" spans="1:4" s="18" customFormat="1" ht="27.75" customHeight="1">
      <c r="A22" s="91"/>
      <c r="B22" s="92"/>
      <c r="C22" s="96"/>
      <c r="D22" s="96"/>
    </row>
    <row r="23" spans="1:4" s="18" customFormat="1" ht="27.75" customHeight="1">
      <c r="A23" s="91"/>
      <c r="B23" s="92"/>
      <c r="C23" s="96"/>
      <c r="D23" s="96"/>
    </row>
    <row r="24" spans="1:4" s="18" customFormat="1" ht="27.75" customHeight="1">
      <c r="A24" s="91"/>
      <c r="B24" s="92"/>
      <c r="C24" s="96"/>
      <c r="D24" s="96"/>
    </row>
    <row r="25" spans="1:5" ht="21.75" customHeight="1">
      <c r="A25" s="52" t="s">
        <v>235</v>
      </c>
      <c r="B25" s="52"/>
      <c r="C25" s="52"/>
      <c r="D25" s="52"/>
      <c r="E25" s="52"/>
    </row>
    <row r="26" spans="1:5" ht="21.75" customHeight="1">
      <c r="A26" s="53" t="s">
        <v>236</v>
      </c>
      <c r="B26" s="53"/>
      <c r="C26" s="53"/>
      <c r="D26" s="53"/>
      <c r="E26" s="53"/>
    </row>
    <row r="27" spans="1:5" ht="21.75" customHeight="1">
      <c r="A27" s="52" t="s">
        <v>237</v>
      </c>
      <c r="B27" s="52"/>
      <c r="C27" s="52"/>
      <c r="D27" s="52"/>
      <c r="E27" s="52"/>
    </row>
    <row r="28" spans="1:6" ht="27.75" customHeight="1">
      <c r="A28" s="13"/>
      <c r="B28" s="14"/>
      <c r="C28" s="1"/>
      <c r="D28" s="1"/>
      <c r="E28" s="10"/>
      <c r="F28" s="10"/>
    </row>
    <row r="29" spans="1:4" ht="27.75" customHeight="1">
      <c r="A29" s="13"/>
      <c r="B29" s="14"/>
      <c r="C29" s="93"/>
      <c r="D29" s="93"/>
    </row>
    <row r="30" spans="1:4" ht="18">
      <c r="A30" s="13"/>
      <c r="B30" s="14"/>
      <c r="C30" s="93"/>
      <c r="D30" s="93"/>
    </row>
    <row r="31" spans="1:5" ht="21.75" customHeight="1">
      <c r="A31" s="52"/>
      <c r="B31" s="52"/>
      <c r="C31" s="52"/>
      <c r="D31" s="52"/>
      <c r="E31" s="52"/>
    </row>
    <row r="32" spans="1:5" ht="21.75" customHeight="1">
      <c r="A32" s="53"/>
      <c r="B32" s="53"/>
      <c r="C32" s="53"/>
      <c r="D32" s="53"/>
      <c r="E32" s="53"/>
    </row>
    <row r="33" spans="1:5" ht="21.75" customHeight="1">
      <c r="A33" s="52"/>
      <c r="B33" s="52"/>
      <c r="C33" s="52"/>
      <c r="D33" s="52"/>
      <c r="E33" s="52"/>
    </row>
    <row r="34" spans="1:4" ht="18">
      <c r="A34" s="13"/>
      <c r="B34" s="14"/>
      <c r="C34" s="93"/>
      <c r="D34" s="93"/>
    </row>
    <row r="35" spans="1:4" ht="18">
      <c r="A35" s="13"/>
      <c r="B35" s="14"/>
      <c r="C35" s="93"/>
      <c r="D35" s="93"/>
    </row>
    <row r="36" spans="1:4" ht="18">
      <c r="A36" s="13"/>
      <c r="B36" s="14"/>
      <c r="C36" s="93"/>
      <c r="D36" s="93"/>
    </row>
    <row r="37" spans="1:4" ht="18">
      <c r="A37" s="13"/>
      <c r="B37" s="14"/>
      <c r="C37" s="93"/>
      <c r="D37" s="93"/>
    </row>
    <row r="38" spans="1:4" ht="18">
      <c r="A38" s="13"/>
      <c r="B38" s="14"/>
      <c r="C38" s="93"/>
      <c r="D38" s="93"/>
    </row>
    <row r="39" spans="1:4" ht="18">
      <c r="A39" s="13"/>
      <c r="B39" s="14"/>
      <c r="C39" s="93"/>
      <c r="D39" s="93"/>
    </row>
    <row r="40" spans="1:4" ht="18">
      <c r="A40" s="13"/>
      <c r="B40" s="95"/>
      <c r="C40" s="93"/>
      <c r="D40" s="93"/>
    </row>
    <row r="41" spans="1:4" ht="18">
      <c r="A41" s="13"/>
      <c r="B41" s="95"/>
      <c r="C41" s="93"/>
      <c r="D41" s="93"/>
    </row>
    <row r="42" spans="1:4" ht="18">
      <c r="A42" s="13"/>
      <c r="B42" s="95"/>
      <c r="C42" s="93"/>
      <c r="D42" s="93"/>
    </row>
    <row r="43" spans="1:4" ht="18">
      <c r="A43" s="13"/>
      <c r="B43" s="95"/>
      <c r="C43" s="93"/>
      <c r="D43" s="93"/>
    </row>
  </sheetData>
  <sheetProtection/>
  <mergeCells count="7">
    <mergeCell ref="A1:D1"/>
    <mergeCell ref="A3:D3"/>
    <mergeCell ref="A2:D2"/>
    <mergeCell ref="A4:A5"/>
    <mergeCell ref="B4:B5"/>
    <mergeCell ref="D4:D5"/>
    <mergeCell ref="C4:C5"/>
  </mergeCells>
  <printOptions/>
  <pageMargins left="0.8267716535433072" right="0.2362204724409449" top="0.5511811023622047" bottom="0.15748031496062992" header="0.15748031496062992" footer="0.1181102362204724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0.28125" style="18" customWidth="1"/>
    <col min="2" max="2" width="17.7109375" style="18" customWidth="1"/>
    <col min="3" max="3" width="9.140625" style="20" customWidth="1"/>
    <col min="4" max="4" width="8.28125" style="18" customWidth="1"/>
    <col min="5" max="16384" width="9.140625" style="18" customWidth="1"/>
  </cols>
  <sheetData>
    <row r="1" spans="1:3" ht="20.25">
      <c r="A1" s="296" t="s">
        <v>232</v>
      </c>
      <c r="B1" s="296"/>
      <c r="C1" s="296"/>
    </row>
    <row r="2" spans="1:3" ht="20.25">
      <c r="A2" s="296" t="s">
        <v>66</v>
      </c>
      <c r="B2" s="296"/>
      <c r="C2" s="296"/>
    </row>
    <row r="3" spans="1:3" ht="20.25">
      <c r="A3" s="49"/>
      <c r="B3" s="49"/>
      <c r="C3" s="49"/>
    </row>
    <row r="4" spans="1:3" ht="20.25">
      <c r="A4" s="18" t="s">
        <v>52</v>
      </c>
      <c r="B4" s="17">
        <f>'[1]หมายเหตุ 2'!F4</f>
        <v>14829.660000000002</v>
      </c>
      <c r="C4" s="20" t="s">
        <v>23</v>
      </c>
    </row>
    <row r="5" spans="1:3" ht="20.25">
      <c r="A5" s="18" t="s">
        <v>21</v>
      </c>
      <c r="B5" s="17">
        <f>'[1]หมายเหตุ 2'!F5</f>
        <v>285380</v>
      </c>
      <c r="C5" s="20" t="s">
        <v>23</v>
      </c>
    </row>
    <row r="6" spans="1:3" ht="20.25" hidden="1">
      <c r="A6" s="18" t="s">
        <v>62</v>
      </c>
      <c r="B6" s="17">
        <f>'[1]หมายเหตุ 2'!F6</f>
        <v>0</v>
      </c>
      <c r="C6" s="20" t="s">
        <v>23</v>
      </c>
    </row>
    <row r="7" spans="1:3" ht="20.25">
      <c r="A7" s="18" t="s">
        <v>63</v>
      </c>
      <c r="B7" s="17">
        <f>'[1]หมายเหตุ 2'!F7</f>
        <v>9011.64</v>
      </c>
      <c r="C7" s="20" t="s">
        <v>23</v>
      </c>
    </row>
    <row r="8" spans="1:3" ht="20.25">
      <c r="A8" s="18" t="s">
        <v>64</v>
      </c>
      <c r="B8" s="17">
        <f>'[1]หมายเหตุ 2'!F8</f>
        <v>13491.69</v>
      </c>
      <c r="C8" s="20" t="s">
        <v>23</v>
      </c>
    </row>
    <row r="9" spans="1:3" ht="20.25">
      <c r="A9" s="18" t="s">
        <v>65</v>
      </c>
      <c r="B9" s="17">
        <f>'[1]หมายเหตุ 2'!F9</f>
        <v>286980.58</v>
      </c>
      <c r="C9" s="20" t="s">
        <v>23</v>
      </c>
    </row>
    <row r="10" spans="1:3" ht="20.25">
      <c r="A10" s="18" t="s">
        <v>153</v>
      </c>
      <c r="B10" s="17">
        <f>'[1]หมายเหตุ 2'!F11</f>
        <v>638</v>
      </c>
      <c r="C10" s="20" t="s">
        <v>23</v>
      </c>
    </row>
    <row r="11" spans="1:3" ht="20.25">
      <c r="A11" s="18" t="s">
        <v>143</v>
      </c>
      <c r="B11" s="17">
        <f>'[1]หมายเหตุ 2'!F12</f>
        <v>100</v>
      </c>
      <c r="C11" s="20" t="s">
        <v>23</v>
      </c>
    </row>
    <row r="12" spans="1:3" ht="20.25">
      <c r="A12" s="18" t="s">
        <v>233</v>
      </c>
      <c r="B12" s="17">
        <f>'[1]หมายเหตุ 2'!F15</f>
        <v>0</v>
      </c>
      <c r="C12" s="20" t="s">
        <v>23</v>
      </c>
    </row>
    <row r="13" spans="1:3" ht="20.25">
      <c r="A13" s="18" t="s">
        <v>130</v>
      </c>
      <c r="B13" s="17">
        <f>'[1]หมายเหตุ 2'!F10</f>
        <v>8807.199999999997</v>
      </c>
      <c r="C13" s="20" t="s">
        <v>23</v>
      </c>
    </row>
    <row r="14" spans="1:3" ht="20.25">
      <c r="A14" s="18" t="s">
        <v>234</v>
      </c>
      <c r="B14" s="17">
        <f>'[1]หมายเหตุ 2'!F18</f>
        <v>0</v>
      </c>
      <c r="C14" s="20" t="s">
        <v>23</v>
      </c>
    </row>
    <row r="15" spans="2:3" ht="21" thickBot="1">
      <c r="B15" s="50">
        <f>SUM(B4:B14)</f>
        <v>619238.77</v>
      </c>
      <c r="C15" s="20" t="s">
        <v>23</v>
      </c>
    </row>
    <row r="16" ht="21" thickTop="1">
      <c r="B16" s="51"/>
    </row>
    <row r="18" spans="1:5" s="1" customFormat="1" ht="21.75" customHeight="1" hidden="1">
      <c r="A18" s="52" t="s">
        <v>235</v>
      </c>
      <c r="B18" s="52"/>
      <c r="C18" s="52"/>
      <c r="D18" s="52"/>
      <c r="E18" s="52"/>
    </row>
    <row r="19" spans="1:5" s="1" customFormat="1" ht="21.75" customHeight="1" hidden="1">
      <c r="A19" s="53" t="s">
        <v>236</v>
      </c>
      <c r="B19" s="53"/>
      <c r="C19" s="53"/>
      <c r="D19" s="53"/>
      <c r="E19" s="53"/>
    </row>
    <row r="20" spans="1:5" s="1" customFormat="1" ht="21.75" customHeight="1" hidden="1">
      <c r="A20" s="52" t="s">
        <v>237</v>
      </c>
      <c r="B20" s="52"/>
      <c r="C20" s="52"/>
      <c r="D20" s="52"/>
      <c r="E20" s="5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24.75" customHeight="1"/>
  <cols>
    <col min="1" max="1" width="32.140625" style="18" customWidth="1"/>
    <col min="2" max="2" width="18.00390625" style="18" customWidth="1"/>
    <col min="3" max="3" width="15.00390625" style="18" customWidth="1"/>
    <col min="4" max="4" width="16.00390625" style="18" customWidth="1"/>
    <col min="5" max="5" width="16.140625" style="18" customWidth="1"/>
    <col min="6" max="6" width="35.8515625" style="18" customWidth="1"/>
    <col min="7" max="7" width="16.7109375" style="18" customWidth="1"/>
    <col min="8" max="8" width="9.140625" style="18" customWidth="1"/>
    <col min="9" max="9" width="11.57421875" style="18" customWidth="1"/>
    <col min="10" max="11" width="9.140625" style="18" customWidth="1"/>
    <col min="12" max="12" width="12.7109375" style="17" customWidth="1"/>
    <col min="13" max="16384" width="9.140625" style="18" customWidth="1"/>
  </cols>
  <sheetData>
    <row r="1" ht="24.75" customHeight="1">
      <c r="G1" s="18" t="s">
        <v>265</v>
      </c>
    </row>
    <row r="2" spans="1:7" ht="24.75" customHeight="1">
      <c r="A2" s="296" t="s">
        <v>98</v>
      </c>
      <c r="B2" s="296"/>
      <c r="C2" s="296"/>
      <c r="D2" s="296"/>
      <c r="E2" s="296"/>
      <c r="F2" s="296"/>
      <c r="G2" s="296"/>
    </row>
    <row r="3" spans="1:7" ht="24.75" customHeight="1">
      <c r="A3" s="296" t="s">
        <v>99</v>
      </c>
      <c r="B3" s="296"/>
      <c r="C3" s="296"/>
      <c r="D3" s="296"/>
      <c r="E3" s="296"/>
      <c r="F3" s="296"/>
      <c r="G3" s="296"/>
    </row>
    <row r="4" spans="1:7" ht="24.75" customHeight="1">
      <c r="A4" s="296" t="s">
        <v>250</v>
      </c>
      <c r="B4" s="296"/>
      <c r="C4" s="296"/>
      <c r="D4" s="296"/>
      <c r="E4" s="296"/>
      <c r="F4" s="296"/>
      <c r="G4" s="296"/>
    </row>
    <row r="5" spans="1:12" s="26" customFormat="1" ht="24.75" customHeight="1">
      <c r="A5" s="97" t="s">
        <v>71</v>
      </c>
      <c r="B5" s="97" t="s">
        <v>72</v>
      </c>
      <c r="C5" s="97" t="s">
        <v>73</v>
      </c>
      <c r="D5" s="97" t="s">
        <v>74</v>
      </c>
      <c r="E5" s="97" t="s">
        <v>75</v>
      </c>
      <c r="F5" s="97" t="s">
        <v>76</v>
      </c>
      <c r="G5" s="97" t="s">
        <v>77</v>
      </c>
      <c r="L5" s="57"/>
    </row>
    <row r="6" spans="1:7" ht="24.75" customHeight="1">
      <c r="A6" s="107" t="s">
        <v>78</v>
      </c>
      <c r="B6" s="108"/>
      <c r="C6" s="108"/>
      <c r="D6" s="108"/>
      <c r="E6" s="108"/>
      <c r="F6" s="108"/>
      <c r="G6" s="108"/>
    </row>
    <row r="7" spans="1:12" ht="24.75" customHeight="1">
      <c r="A7" s="109" t="s">
        <v>79</v>
      </c>
      <c r="B7" s="110">
        <v>157000</v>
      </c>
      <c r="C7" s="110">
        <v>0</v>
      </c>
      <c r="D7" s="110">
        <v>0</v>
      </c>
      <c r="E7" s="110">
        <f>B7+C7-D7</f>
        <v>157000</v>
      </c>
      <c r="F7" s="109" t="s">
        <v>80</v>
      </c>
      <c r="G7" s="110">
        <f>2561059.36+206849+96132+20000-17976-4494+96200+200483.6+192060+93100+13500+17548</f>
        <v>3474461.96</v>
      </c>
      <c r="L7" s="17">
        <v>60000</v>
      </c>
    </row>
    <row r="8" spans="1:12" ht="24.75" customHeight="1">
      <c r="A8" s="109" t="s">
        <v>81</v>
      </c>
      <c r="B8" s="110">
        <v>81000</v>
      </c>
      <c r="C8" s="110">
        <v>0</v>
      </c>
      <c r="D8" s="110">
        <v>0</v>
      </c>
      <c r="E8" s="110">
        <f aca="true" t="shared" si="0" ref="E8:E18">B8+C8-D8</f>
        <v>81000</v>
      </c>
      <c r="F8" s="109" t="s">
        <v>82</v>
      </c>
      <c r="G8" s="110">
        <f>1780400+63000+2500000+1498000+399000+799000+45950+75000+6500+92000+645000+325000+1697000+4290+9000</f>
        <v>9939140</v>
      </c>
      <c r="L8" s="17">
        <v>33000</v>
      </c>
    </row>
    <row r="9" spans="1:12" ht="24.75" customHeight="1">
      <c r="A9" s="109" t="s">
        <v>83</v>
      </c>
      <c r="B9" s="110">
        <v>365000</v>
      </c>
      <c r="C9" s="110">
        <v>0</v>
      </c>
      <c r="D9" s="110">
        <v>0</v>
      </c>
      <c r="E9" s="110">
        <f t="shared" si="0"/>
        <v>365000</v>
      </c>
      <c r="F9" s="109" t="s">
        <v>84</v>
      </c>
      <c r="G9" s="110">
        <f>500000+999000+970000+385000</f>
        <v>2854000</v>
      </c>
      <c r="L9" s="17">
        <v>27100</v>
      </c>
    </row>
    <row r="10" spans="1:12" ht="24.75" customHeight="1">
      <c r="A10" s="109" t="s">
        <v>85</v>
      </c>
      <c r="B10" s="110">
        <v>500000</v>
      </c>
      <c r="C10" s="110">
        <v>0</v>
      </c>
      <c r="D10" s="110">
        <v>0</v>
      </c>
      <c r="E10" s="110">
        <f t="shared" si="0"/>
        <v>500000</v>
      </c>
      <c r="F10" s="109" t="s">
        <v>86</v>
      </c>
      <c r="G10" s="110">
        <f>498000</f>
        <v>498000</v>
      </c>
      <c r="L10" s="17">
        <v>29960</v>
      </c>
    </row>
    <row r="11" spans="1:12" ht="24.75" customHeight="1">
      <c r="A11" s="109" t="s">
        <v>87</v>
      </c>
      <c r="B11" s="110">
        <v>997000</v>
      </c>
      <c r="C11" s="110">
        <v>0</v>
      </c>
      <c r="D11" s="110">
        <v>0</v>
      </c>
      <c r="E11" s="110">
        <f t="shared" si="0"/>
        <v>997000</v>
      </c>
      <c r="F11" s="109" t="s">
        <v>88</v>
      </c>
      <c r="G11" s="110">
        <f>6487000+4494+17976+20400</f>
        <v>6529870</v>
      </c>
      <c r="L11" s="17">
        <v>34600</v>
      </c>
    </row>
    <row r="12" spans="1:12" ht="24.75" customHeight="1">
      <c r="A12" s="109" t="s">
        <v>89</v>
      </c>
      <c r="B12" s="110">
        <v>8588000</v>
      </c>
      <c r="C12" s="110"/>
      <c r="D12" s="110">
        <v>0</v>
      </c>
      <c r="E12" s="110">
        <f t="shared" si="0"/>
        <v>8588000</v>
      </c>
      <c r="F12" s="109" t="s">
        <v>142</v>
      </c>
      <c r="G12" s="111">
        <f>1017000+69900</f>
        <v>1086900</v>
      </c>
      <c r="L12" s="17">
        <v>7400</v>
      </c>
    </row>
    <row r="13" spans="1:12" ht="24.75" customHeight="1">
      <c r="A13" s="109" t="s">
        <v>90</v>
      </c>
      <c r="B13" s="110">
        <v>5988000</v>
      </c>
      <c r="C13" s="110">
        <v>0</v>
      </c>
      <c r="D13" s="110">
        <v>0</v>
      </c>
      <c r="E13" s="110">
        <f t="shared" si="0"/>
        <v>5988000</v>
      </c>
      <c r="F13" s="109"/>
      <c r="G13" s="109"/>
      <c r="L13" s="17">
        <f>SUM(L7:L12)</f>
        <v>192060</v>
      </c>
    </row>
    <row r="14" spans="1:7" ht="24.75" customHeight="1">
      <c r="A14" s="109" t="s">
        <v>133</v>
      </c>
      <c r="B14" s="110">
        <v>3499000</v>
      </c>
      <c r="C14" s="110">
        <v>0</v>
      </c>
      <c r="D14" s="110">
        <v>0</v>
      </c>
      <c r="E14" s="110">
        <f t="shared" si="0"/>
        <v>3499000</v>
      </c>
      <c r="F14" s="109"/>
      <c r="G14" s="109"/>
    </row>
    <row r="15" spans="1:7" ht="24.75" customHeight="1">
      <c r="A15" s="109" t="s">
        <v>134</v>
      </c>
      <c r="B15" s="110">
        <v>20000</v>
      </c>
      <c r="C15" s="110">
        <v>0</v>
      </c>
      <c r="D15" s="110">
        <v>0</v>
      </c>
      <c r="E15" s="110">
        <f t="shared" si="0"/>
        <v>20000</v>
      </c>
      <c r="F15" s="109"/>
      <c r="G15" s="109"/>
    </row>
    <row r="16" spans="1:7" ht="24.75" customHeight="1">
      <c r="A16" s="109" t="s">
        <v>135</v>
      </c>
      <c r="B16" s="110">
        <v>63000</v>
      </c>
      <c r="C16" s="110">
        <v>0</v>
      </c>
      <c r="D16" s="110">
        <v>0</v>
      </c>
      <c r="E16" s="110">
        <f t="shared" si="0"/>
        <v>63000</v>
      </c>
      <c r="F16" s="109"/>
      <c r="G16" s="109"/>
    </row>
    <row r="17" spans="1:7" ht="24.75" customHeight="1">
      <c r="A17" s="109" t="s">
        <v>140</v>
      </c>
      <c r="B17" s="110">
        <v>399000</v>
      </c>
      <c r="C17" s="110">
        <v>0</v>
      </c>
      <c r="D17" s="110">
        <v>0</v>
      </c>
      <c r="E17" s="110">
        <f t="shared" si="0"/>
        <v>399000</v>
      </c>
      <c r="F17" s="109"/>
      <c r="G17" s="110"/>
    </row>
    <row r="18" spans="1:7" ht="24.75" customHeight="1">
      <c r="A18" s="112" t="s">
        <v>144</v>
      </c>
      <c r="B18" s="110">
        <v>75000</v>
      </c>
      <c r="C18" s="110">
        <v>0</v>
      </c>
      <c r="D18" s="110">
        <v>0</v>
      </c>
      <c r="E18" s="110">
        <f t="shared" si="0"/>
        <v>75000</v>
      </c>
      <c r="F18" s="109"/>
      <c r="G18" s="110"/>
    </row>
    <row r="19" spans="1:7" ht="24.75" customHeight="1">
      <c r="A19" s="112" t="s">
        <v>150</v>
      </c>
      <c r="B19" s="110">
        <v>92000</v>
      </c>
      <c r="C19" s="110">
        <v>0</v>
      </c>
      <c r="D19" s="110">
        <v>0</v>
      </c>
      <c r="E19" s="110">
        <f>B19+C19-D19</f>
        <v>92000</v>
      </c>
      <c r="F19" s="109"/>
      <c r="G19" s="110"/>
    </row>
    <row r="20" spans="1:7" ht="24.75" customHeight="1">
      <c r="A20" s="113" t="s">
        <v>91</v>
      </c>
      <c r="B20" s="110"/>
      <c r="C20" s="110"/>
      <c r="D20" s="110"/>
      <c r="E20" s="110"/>
      <c r="F20" s="109"/>
      <c r="G20" s="109"/>
    </row>
    <row r="21" spans="1:7" ht="24.75" customHeight="1">
      <c r="A21" s="109" t="s">
        <v>92</v>
      </c>
      <c r="B21" s="110">
        <v>977767.36</v>
      </c>
      <c r="C21" s="110">
        <v>9000</v>
      </c>
      <c r="D21" s="110">
        <v>0</v>
      </c>
      <c r="E21" s="110">
        <f>B21+C21-D21</f>
        <v>986767.36</v>
      </c>
      <c r="F21" s="109"/>
      <c r="G21" s="109"/>
    </row>
    <row r="22" spans="1:7" ht="24.75" customHeight="1">
      <c r="A22" s="109" t="s">
        <v>93</v>
      </c>
      <c r="B22" s="110">
        <v>613613</v>
      </c>
      <c r="C22" s="110">
        <v>0</v>
      </c>
      <c r="D22" s="110">
        <v>0</v>
      </c>
      <c r="E22" s="110">
        <f>B22+C22-D22</f>
        <v>613613</v>
      </c>
      <c r="F22" s="109"/>
      <c r="G22" s="109"/>
    </row>
    <row r="23" spans="1:7" ht="24.75" customHeight="1">
      <c r="A23" s="109" t="s">
        <v>94</v>
      </c>
      <c r="B23" s="110">
        <v>429950</v>
      </c>
      <c r="C23" s="110">
        <v>0</v>
      </c>
      <c r="D23" s="110">
        <v>0</v>
      </c>
      <c r="E23" s="110">
        <f>B23+C23-D23</f>
        <v>429950</v>
      </c>
      <c r="F23" s="109"/>
      <c r="G23" s="109"/>
    </row>
    <row r="24" spans="1:7" ht="24.75" customHeight="1">
      <c r="A24" s="114" t="s">
        <v>95</v>
      </c>
      <c r="B24" s="269">
        <v>31100</v>
      </c>
      <c r="C24" s="269">
        <v>0</v>
      </c>
      <c r="D24" s="269">
        <v>0</v>
      </c>
      <c r="E24" s="269">
        <f>B24+C24-D24</f>
        <v>31100</v>
      </c>
      <c r="F24" s="114"/>
      <c r="G24" s="114"/>
    </row>
    <row r="25" spans="1:7" ht="24.75" customHeight="1">
      <c r="A25" s="115"/>
      <c r="B25" s="116"/>
      <c r="C25" s="116"/>
      <c r="D25" s="116"/>
      <c r="E25" s="116"/>
      <c r="F25" s="115"/>
      <c r="G25" s="115"/>
    </row>
    <row r="26" spans="1:7" ht="24.75" customHeight="1">
      <c r="A26" s="115"/>
      <c r="B26" s="116"/>
      <c r="C26" s="116"/>
      <c r="D26" s="116"/>
      <c r="E26" s="116"/>
      <c r="F26" s="115"/>
      <c r="G26" s="115"/>
    </row>
    <row r="27" spans="1:7" ht="24.75" customHeight="1">
      <c r="A27" s="317" t="s">
        <v>149</v>
      </c>
      <c r="B27" s="318"/>
      <c r="C27" s="318"/>
      <c r="D27" s="318"/>
      <c r="E27" s="318"/>
      <c r="F27" s="318"/>
      <c r="G27" s="318"/>
    </row>
    <row r="28" spans="1:7" ht="24.75" customHeight="1">
      <c r="A28" s="117"/>
      <c r="B28" s="54"/>
      <c r="C28" s="54"/>
      <c r="D28" s="54"/>
      <c r="E28" s="54"/>
      <c r="F28" s="54"/>
      <c r="G28" s="54"/>
    </row>
    <row r="29" spans="1:12" s="26" customFormat="1" ht="24.75" customHeight="1">
      <c r="A29" s="97" t="s">
        <v>71</v>
      </c>
      <c r="B29" s="97" t="s">
        <v>72</v>
      </c>
      <c r="C29" s="97" t="s">
        <v>73</v>
      </c>
      <c r="D29" s="97" t="s">
        <v>74</v>
      </c>
      <c r="E29" s="97" t="s">
        <v>75</v>
      </c>
      <c r="F29" s="97" t="s">
        <v>76</v>
      </c>
      <c r="G29" s="97" t="s">
        <v>77</v>
      </c>
      <c r="L29" s="57"/>
    </row>
    <row r="30" spans="1:7" ht="24.75" customHeight="1">
      <c r="A30" s="118" t="s">
        <v>96</v>
      </c>
      <c r="B30" s="119">
        <v>557080</v>
      </c>
      <c r="C30" s="119">
        <v>0</v>
      </c>
      <c r="D30" s="119">
        <v>0</v>
      </c>
      <c r="E30" s="119">
        <f>B30+C30-D30</f>
        <v>557080</v>
      </c>
      <c r="F30" s="120"/>
      <c r="G30" s="120"/>
    </row>
    <row r="31" spans="1:7" ht="24.75" customHeight="1">
      <c r="A31" s="109" t="s">
        <v>97</v>
      </c>
      <c r="B31" s="119">
        <v>75543.6</v>
      </c>
      <c r="C31" s="119"/>
      <c r="D31" s="119">
        <v>0</v>
      </c>
      <c r="E31" s="110">
        <f aca="true" t="shared" si="1" ref="E31:E36">B31+C31-D31</f>
        <v>75543.6</v>
      </c>
      <c r="F31" s="109"/>
      <c r="G31" s="120"/>
    </row>
    <row r="32" spans="1:7" ht="24.75" customHeight="1">
      <c r="A32" s="109" t="s">
        <v>141</v>
      </c>
      <c r="B32" s="119">
        <v>650490</v>
      </c>
      <c r="C32" s="119">
        <v>4290</v>
      </c>
      <c r="D32" s="119">
        <v>0</v>
      </c>
      <c r="E32" s="110">
        <f t="shared" si="1"/>
        <v>654780</v>
      </c>
      <c r="F32" s="109"/>
      <c r="G32" s="120"/>
    </row>
    <row r="33" spans="1:7" ht="24.75" customHeight="1">
      <c r="A33" s="109" t="s">
        <v>145</v>
      </c>
      <c r="B33" s="119">
        <v>5990</v>
      </c>
      <c r="C33" s="119">
        <v>17548</v>
      </c>
      <c r="D33" s="119">
        <v>0</v>
      </c>
      <c r="E33" s="110">
        <f t="shared" si="1"/>
        <v>23538</v>
      </c>
      <c r="F33" s="109"/>
      <c r="G33" s="120"/>
    </row>
    <row r="34" spans="1:7" ht="24.75" customHeight="1">
      <c r="A34" s="109" t="s">
        <v>146</v>
      </c>
      <c r="B34" s="119">
        <v>68000</v>
      </c>
      <c r="C34" s="119">
        <v>0</v>
      </c>
      <c r="D34" s="119">
        <v>0</v>
      </c>
      <c r="E34" s="110">
        <f t="shared" si="1"/>
        <v>68000</v>
      </c>
      <c r="F34" s="109"/>
      <c r="G34" s="120"/>
    </row>
    <row r="35" spans="1:7" ht="24.75" customHeight="1">
      <c r="A35" s="109" t="s">
        <v>148</v>
      </c>
      <c r="B35" s="119">
        <v>9000</v>
      </c>
      <c r="C35" s="119"/>
      <c r="D35" s="119">
        <v>0</v>
      </c>
      <c r="E35" s="110">
        <f t="shared" si="1"/>
        <v>9000</v>
      </c>
      <c r="F35" s="109"/>
      <c r="G35" s="120"/>
    </row>
    <row r="36" spans="1:7" ht="24.75" customHeight="1">
      <c r="A36" s="109" t="s">
        <v>151</v>
      </c>
      <c r="B36" s="119">
        <v>66500</v>
      </c>
      <c r="C36" s="119">
        <v>0</v>
      </c>
      <c r="D36" s="119">
        <v>0</v>
      </c>
      <c r="E36" s="110">
        <f t="shared" si="1"/>
        <v>66500</v>
      </c>
      <c r="F36" s="109"/>
      <c r="G36" s="120"/>
    </row>
    <row r="37" spans="1:7" ht="24.75" customHeight="1">
      <c r="A37" s="114" t="s">
        <v>147</v>
      </c>
      <c r="B37" s="119">
        <v>42500</v>
      </c>
      <c r="C37" s="119">
        <v>0</v>
      </c>
      <c r="D37" s="119">
        <v>0</v>
      </c>
      <c r="E37" s="110">
        <f>B37+C37-D37</f>
        <v>42500</v>
      </c>
      <c r="F37" s="109"/>
      <c r="G37" s="120"/>
    </row>
    <row r="38" spans="1:7" ht="24.75" customHeight="1" thickBot="1">
      <c r="A38" s="121"/>
      <c r="B38" s="122">
        <f>SUM(B7:B37)</f>
        <v>24351533.96</v>
      </c>
      <c r="C38" s="122">
        <f>SUM(C7:C37)</f>
        <v>30838</v>
      </c>
      <c r="D38" s="122">
        <f>SUM(D7:D36)</f>
        <v>0</v>
      </c>
      <c r="E38" s="122">
        <f>SUM(E7:E37)</f>
        <v>24382371.96</v>
      </c>
      <c r="F38" s="123"/>
      <c r="G38" s="122">
        <f>SUM(G7:G32)</f>
        <v>24382371.96</v>
      </c>
    </row>
    <row r="39" spans="2:5" ht="24.75" customHeight="1" thickTop="1">
      <c r="B39" s="22"/>
      <c r="C39" s="22"/>
      <c r="D39" s="22"/>
      <c r="E39" s="22"/>
    </row>
    <row r="40" spans="2:5" ht="24.75" customHeight="1">
      <c r="B40" s="22"/>
      <c r="C40" s="22"/>
      <c r="D40" s="22"/>
      <c r="E40" s="22"/>
    </row>
    <row r="42" spans="2:5" ht="24.75" customHeight="1">
      <c r="B42" s="52" t="s">
        <v>235</v>
      </c>
      <c r="C42" s="52"/>
      <c r="D42" s="52"/>
      <c r="E42" s="52"/>
    </row>
    <row r="43" spans="2:9" ht="24.75" customHeight="1">
      <c r="B43" s="53" t="s">
        <v>279</v>
      </c>
      <c r="C43" s="53"/>
      <c r="D43" s="53"/>
      <c r="E43" s="53"/>
      <c r="I43" s="22">
        <f>E38-G38</f>
        <v>0</v>
      </c>
    </row>
    <row r="44" spans="2:5" ht="24.75" customHeight="1">
      <c r="B44" s="52" t="s">
        <v>280</v>
      </c>
      <c r="C44" s="52"/>
      <c r="D44" s="52"/>
      <c r="E44" s="52"/>
    </row>
    <row r="54" spans="3:7" ht="24.75" customHeight="1">
      <c r="C54" s="22"/>
      <c r="E54" s="22">
        <f>C12+C17</f>
        <v>0</v>
      </c>
      <c r="F54" s="22">
        <f>E38-G38</f>
        <v>0</v>
      </c>
      <c r="G54" s="17">
        <f>20490640.36-18179440.36</f>
        <v>2311200</v>
      </c>
    </row>
    <row r="55" ht="24.75" customHeight="1">
      <c r="C55" s="17"/>
    </row>
    <row r="56" ht="24.75" customHeight="1">
      <c r="C56" s="22"/>
    </row>
  </sheetData>
  <sheetProtection/>
  <mergeCells count="4">
    <mergeCell ref="A2:G2"/>
    <mergeCell ref="A3:G3"/>
    <mergeCell ref="A4:G4"/>
    <mergeCell ref="A27:G27"/>
  </mergeCells>
  <printOptions/>
  <pageMargins left="0.8661417322834646" right="0.31496062992125984" top="0.3937007874015748" bottom="0.35433070866141736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57421875" style="18" customWidth="1"/>
    <col min="2" max="2" width="33.8515625" style="18" customWidth="1"/>
    <col min="3" max="3" width="11.8515625" style="18" customWidth="1"/>
    <col min="4" max="4" width="9.140625" style="26" customWidth="1"/>
    <col min="5" max="5" width="12.57421875" style="18" customWidth="1"/>
    <col min="6" max="6" width="14.00390625" style="18" customWidth="1"/>
    <col min="7" max="7" width="13.140625" style="18" customWidth="1"/>
    <col min="8" max="8" width="9.140625" style="18" customWidth="1"/>
    <col min="9" max="9" width="11.28125" style="18" bestFit="1" customWidth="1"/>
    <col min="10" max="16384" width="9.140625" style="18" customWidth="1"/>
  </cols>
  <sheetData>
    <row r="1" spans="1:7" ht="25.5" customHeight="1">
      <c r="A1" s="311" t="s">
        <v>356</v>
      </c>
      <c r="B1" s="311"/>
      <c r="C1" s="311"/>
      <c r="D1" s="311"/>
      <c r="E1" s="311"/>
      <c r="F1" s="311"/>
      <c r="G1" s="311"/>
    </row>
    <row r="2" spans="1:7" ht="28.5" customHeight="1">
      <c r="A2" s="325" t="s">
        <v>101</v>
      </c>
      <c r="B2" s="325"/>
      <c r="C2" s="325"/>
      <c r="D2" s="325"/>
      <c r="E2" s="325"/>
      <c r="F2" s="325"/>
      <c r="G2" s="325"/>
    </row>
    <row r="3" spans="1:7" ht="28.5" customHeight="1">
      <c r="A3" s="326" t="s">
        <v>251</v>
      </c>
      <c r="B3" s="326"/>
      <c r="C3" s="326"/>
      <c r="D3" s="326"/>
      <c r="E3" s="326"/>
      <c r="F3" s="326"/>
      <c r="G3" s="326"/>
    </row>
    <row r="4" spans="1:7" ht="29.25" customHeight="1">
      <c r="A4" s="325" t="s">
        <v>252</v>
      </c>
      <c r="B4" s="325"/>
      <c r="C4" s="325"/>
      <c r="D4" s="325"/>
      <c r="E4" s="325"/>
      <c r="F4" s="325"/>
      <c r="G4" s="325"/>
    </row>
    <row r="5" spans="1:7" ht="8.25" customHeight="1">
      <c r="A5" s="124"/>
      <c r="B5" s="124"/>
      <c r="C5" s="124"/>
      <c r="D5" s="124"/>
      <c r="E5" s="124"/>
      <c r="F5" s="124"/>
      <c r="G5" s="124"/>
    </row>
    <row r="6" spans="1:7" ht="24.75" customHeight="1">
      <c r="A6" s="327" t="s">
        <v>122</v>
      </c>
      <c r="B6" s="327" t="s">
        <v>71</v>
      </c>
      <c r="C6" s="125" t="s">
        <v>253</v>
      </c>
      <c r="D6" s="125" t="s">
        <v>77</v>
      </c>
      <c r="E6" s="327" t="s">
        <v>254</v>
      </c>
      <c r="F6" s="327" t="s">
        <v>255</v>
      </c>
      <c r="G6" s="125" t="s">
        <v>256</v>
      </c>
    </row>
    <row r="7" spans="1:7" ht="24.75" customHeight="1">
      <c r="A7" s="328"/>
      <c r="B7" s="328"/>
      <c r="C7" s="126" t="s">
        <v>257</v>
      </c>
      <c r="D7" s="126" t="s">
        <v>258</v>
      </c>
      <c r="E7" s="328"/>
      <c r="F7" s="328"/>
      <c r="G7" s="127" t="s">
        <v>259</v>
      </c>
    </row>
    <row r="8" spans="1:7" s="30" customFormat="1" ht="26.25" customHeight="1">
      <c r="A8" s="128"/>
      <c r="B8" s="129" t="s">
        <v>260</v>
      </c>
      <c r="C8" s="128"/>
      <c r="D8" s="130"/>
      <c r="E8" s="131"/>
      <c r="F8" s="131"/>
      <c r="G8" s="128"/>
    </row>
    <row r="9" spans="1:7" s="30" customFormat="1" ht="26.25" customHeight="1">
      <c r="A9" s="132"/>
      <c r="B9" s="133" t="s">
        <v>92</v>
      </c>
      <c r="C9" s="132"/>
      <c r="D9" s="97"/>
      <c r="E9" s="134"/>
      <c r="F9" s="134"/>
      <c r="G9" s="97"/>
    </row>
    <row r="10" spans="1:7" s="30" customFormat="1" ht="26.25" customHeight="1">
      <c r="A10" s="135"/>
      <c r="B10" s="136" t="s">
        <v>266</v>
      </c>
      <c r="C10" s="137">
        <v>21079</v>
      </c>
      <c r="D10" s="97">
        <v>1</v>
      </c>
      <c r="E10" s="138">
        <v>9000</v>
      </c>
      <c r="F10" s="138">
        <f>E10*D10</f>
        <v>9000</v>
      </c>
      <c r="G10" s="164" t="s">
        <v>208</v>
      </c>
    </row>
    <row r="11" spans="1:7" s="30" customFormat="1" ht="26.25" customHeight="1">
      <c r="A11" s="135"/>
      <c r="B11" s="136"/>
      <c r="C11" s="137"/>
      <c r="D11" s="97"/>
      <c r="E11" s="138"/>
      <c r="F11" s="138"/>
      <c r="G11" s="97"/>
    </row>
    <row r="12" spans="1:7" s="30" customFormat="1" ht="26.25" customHeight="1">
      <c r="A12" s="132"/>
      <c r="B12" s="133" t="s">
        <v>145</v>
      </c>
      <c r="C12" s="132"/>
      <c r="D12" s="97"/>
      <c r="E12" s="134"/>
      <c r="F12" s="134"/>
      <c r="G12" s="97"/>
    </row>
    <row r="13" spans="1:7" s="30" customFormat="1" ht="26.25" customHeight="1">
      <c r="A13" s="135"/>
      <c r="B13" s="136" t="s">
        <v>263</v>
      </c>
      <c r="C13" s="137">
        <v>21075</v>
      </c>
      <c r="D13" s="97">
        <v>2</v>
      </c>
      <c r="E13" s="138">
        <v>8774</v>
      </c>
      <c r="F13" s="138">
        <f>E13*D13</f>
        <v>17548</v>
      </c>
      <c r="G13" s="97" t="s">
        <v>261</v>
      </c>
    </row>
    <row r="14" spans="1:7" s="30" customFormat="1" ht="26.25" customHeight="1">
      <c r="A14" s="135"/>
      <c r="B14" s="136" t="s">
        <v>264</v>
      </c>
      <c r="C14" s="137"/>
      <c r="D14" s="97"/>
      <c r="E14" s="138"/>
      <c r="F14" s="138"/>
      <c r="G14" s="97"/>
    </row>
    <row r="15" spans="1:7" s="30" customFormat="1" ht="26.25" customHeight="1">
      <c r="A15" s="128"/>
      <c r="B15" s="129"/>
      <c r="C15" s="128"/>
      <c r="D15" s="130"/>
      <c r="E15" s="131"/>
      <c r="F15" s="131"/>
      <c r="G15" s="128"/>
    </row>
    <row r="16" spans="1:7" s="1" customFormat="1" ht="26.25" customHeight="1">
      <c r="A16" s="132"/>
      <c r="B16" s="133" t="s">
        <v>141</v>
      </c>
      <c r="C16" s="132"/>
      <c r="D16" s="97"/>
      <c r="E16" s="134"/>
      <c r="F16" s="134"/>
      <c r="G16" s="132"/>
    </row>
    <row r="17" spans="1:7" s="1" customFormat="1" ht="26.25" customHeight="1">
      <c r="A17" s="135"/>
      <c r="B17" s="136" t="s">
        <v>267</v>
      </c>
      <c r="C17" s="137">
        <v>21085</v>
      </c>
      <c r="D17" s="97">
        <v>8</v>
      </c>
      <c r="E17" s="134">
        <v>4290</v>
      </c>
      <c r="F17" s="138">
        <v>4290</v>
      </c>
      <c r="G17" s="164" t="s">
        <v>208</v>
      </c>
    </row>
    <row r="18" spans="1:7" s="1" customFormat="1" ht="26.25" customHeight="1">
      <c r="A18" s="135"/>
      <c r="B18" s="136" t="s">
        <v>268</v>
      </c>
      <c r="C18" s="137"/>
      <c r="D18" s="97"/>
      <c r="E18" s="134"/>
      <c r="F18" s="138"/>
      <c r="G18" s="97"/>
    </row>
    <row r="19" spans="1:7" s="1" customFormat="1" ht="26.25" customHeight="1">
      <c r="A19" s="135"/>
      <c r="B19" s="139"/>
      <c r="C19" s="137"/>
      <c r="D19" s="97"/>
      <c r="E19" s="134"/>
      <c r="F19" s="138"/>
      <c r="G19" s="97"/>
    </row>
    <row r="20" spans="1:7" s="1" customFormat="1" ht="26.25" customHeight="1">
      <c r="A20" s="135"/>
      <c r="B20" s="139"/>
      <c r="C20" s="137"/>
      <c r="D20" s="97"/>
      <c r="E20" s="134"/>
      <c r="F20" s="138"/>
      <c r="G20" s="97"/>
    </row>
    <row r="21" spans="1:7" s="1" customFormat="1" ht="26.25" customHeight="1">
      <c r="A21" s="140"/>
      <c r="B21" s="73"/>
      <c r="C21" s="141"/>
      <c r="D21" s="142"/>
      <c r="E21" s="73"/>
      <c r="F21" s="73"/>
      <c r="G21" s="142"/>
    </row>
    <row r="22" spans="1:7" s="19" customFormat="1" ht="25.5" customHeight="1" thickBot="1">
      <c r="A22" s="321" t="s">
        <v>262</v>
      </c>
      <c r="B22" s="322"/>
      <c r="C22" s="323"/>
      <c r="D22" s="143"/>
      <c r="E22" s="144"/>
      <c r="F22" s="145">
        <f>SUM(F7:F21)</f>
        <v>30838</v>
      </c>
      <c r="G22" s="146"/>
    </row>
    <row r="23" spans="1:7" s="19" customFormat="1" ht="25.5" customHeight="1" thickTop="1">
      <c r="A23" s="152"/>
      <c r="B23" s="152"/>
      <c r="C23" s="152"/>
      <c r="D23" s="152"/>
      <c r="E23" s="153"/>
      <c r="F23" s="96"/>
      <c r="G23" s="156"/>
    </row>
    <row r="24" spans="6:9" ht="20.25">
      <c r="F24" s="22"/>
      <c r="I24" s="22"/>
    </row>
    <row r="25" spans="1:5" s="1" customFormat="1" ht="21.75" customHeight="1">
      <c r="A25" s="52" t="s">
        <v>235</v>
      </c>
      <c r="B25" s="52"/>
      <c r="C25" s="52"/>
      <c r="D25" s="52"/>
      <c r="E25" s="52"/>
    </row>
    <row r="26" spans="1:5" s="1" customFormat="1" ht="21.75" customHeight="1">
      <c r="A26" s="53" t="s">
        <v>277</v>
      </c>
      <c r="B26" s="53"/>
      <c r="C26" s="53"/>
      <c r="D26" s="53"/>
      <c r="E26" s="53"/>
    </row>
    <row r="27" spans="1:5" s="1" customFormat="1" ht="21.75" customHeight="1">
      <c r="A27" s="52" t="s">
        <v>278</v>
      </c>
      <c r="B27" s="52"/>
      <c r="C27" s="52"/>
      <c r="D27" s="52"/>
      <c r="E27" s="52"/>
    </row>
    <row r="28" spans="4:7" ht="20.25">
      <c r="D28" s="18"/>
      <c r="F28" s="22"/>
      <c r="G28" s="147"/>
    </row>
    <row r="29" spans="4:5" ht="20.25">
      <c r="D29" s="148"/>
      <c r="E29" s="148"/>
    </row>
    <row r="30" spans="4:5" ht="18.75" customHeight="1">
      <c r="D30" s="46"/>
      <c r="E30" s="46"/>
    </row>
    <row r="31" spans="2:6" ht="29.25" customHeight="1">
      <c r="B31" s="149"/>
      <c r="D31" s="320"/>
      <c r="E31" s="320"/>
      <c r="F31" s="320"/>
    </row>
    <row r="32" spans="2:6" ht="20.25">
      <c r="B32" s="84"/>
      <c r="D32" s="324"/>
      <c r="E32" s="324"/>
      <c r="F32" s="324"/>
    </row>
    <row r="33" spans="2:6" ht="20.25">
      <c r="B33" s="84"/>
      <c r="D33" s="324"/>
      <c r="E33" s="324"/>
      <c r="F33" s="324"/>
    </row>
    <row r="34" spans="2:7" ht="9.75" customHeight="1">
      <c r="B34" s="84"/>
      <c r="D34" s="20"/>
      <c r="F34" s="46"/>
      <c r="G34" s="46"/>
    </row>
    <row r="35" spans="4:7" ht="20.25">
      <c r="D35" s="319"/>
      <c r="E35" s="319"/>
      <c r="G35" s="147"/>
    </row>
    <row r="36" spans="4:7" ht="18" customHeight="1">
      <c r="D36" s="17"/>
      <c r="E36" s="17"/>
      <c r="G36" s="147"/>
    </row>
    <row r="37" spans="2:7" ht="32.25" customHeight="1">
      <c r="B37" s="149"/>
      <c r="C37" s="147"/>
      <c r="D37" s="320"/>
      <c r="E37" s="320"/>
      <c r="F37" s="320"/>
      <c r="G37" s="150"/>
    </row>
    <row r="38" spans="2:7" ht="20.25">
      <c r="B38" s="84"/>
      <c r="D38" s="277"/>
      <c r="E38" s="277"/>
      <c r="F38" s="277"/>
      <c r="G38" s="150"/>
    </row>
    <row r="39" spans="2:7" ht="20.25">
      <c r="B39" s="151"/>
      <c r="C39" s="151"/>
      <c r="D39" s="277"/>
      <c r="E39" s="277"/>
      <c r="F39" s="277"/>
      <c r="G39" s="150"/>
    </row>
  </sheetData>
  <sheetProtection/>
  <mergeCells count="16">
    <mergeCell ref="A1:G1"/>
    <mergeCell ref="A2:G2"/>
    <mergeCell ref="A3:G3"/>
    <mergeCell ref="A4:G4"/>
    <mergeCell ref="E6:E7"/>
    <mergeCell ref="B6:B7"/>
    <mergeCell ref="A6:A7"/>
    <mergeCell ref="F6:F7"/>
    <mergeCell ref="D35:E35"/>
    <mergeCell ref="D37:F37"/>
    <mergeCell ref="D38:F38"/>
    <mergeCell ref="D39:F39"/>
    <mergeCell ref="A22:C22"/>
    <mergeCell ref="D31:F31"/>
    <mergeCell ref="D32:F32"/>
    <mergeCell ref="D33:F33"/>
  </mergeCells>
  <printOptions/>
  <pageMargins left="0.5511811023622047" right="0.15748031496062992" top="0.7874015748031497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ComPC-04</cp:lastModifiedBy>
  <cp:lastPrinted>2014-10-08T16:08:51Z</cp:lastPrinted>
  <dcterms:created xsi:type="dcterms:W3CDTF">2004-04-02T02:41:43Z</dcterms:created>
  <dcterms:modified xsi:type="dcterms:W3CDTF">2014-10-21T06:03:59Z</dcterms:modified>
  <cp:category/>
  <cp:version/>
  <cp:contentType/>
  <cp:contentStatus/>
</cp:coreProperties>
</file>