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436" windowHeight="8627" tabRatio="856" firstSheet="2" activeTab="5"/>
  </bookViews>
  <sheets>
    <sheet name="ใบผ่านรายการ 1 " sheetId="1" r:id="rId1"/>
    <sheet name="ใบผ่านรายการ  2" sheetId="2" r:id="rId2"/>
    <sheet name="ใบผ่านรายการ3" sheetId="3" r:id="rId3"/>
    <sheet name="ใบผ่านทั่วไป" sheetId="4" r:id="rId4"/>
    <sheet name="กระดาษทำการ" sheetId="5" r:id="rId5"/>
    <sheet name="งบทดลอง " sheetId="6" r:id="rId6"/>
    <sheet name="รับ-จ่าย  (2)" sheetId="7" r:id="rId7"/>
    <sheet name="งบกระแส " sheetId="8" r:id="rId8"/>
    <sheet name="หมายเหตุ2" sheetId="9" r:id="rId9"/>
    <sheet name="หมายเหตุ3" sheetId="10" r:id="rId10"/>
    <sheet name="หมายเหตุ 4 (2)" sheetId="11" r:id="rId11"/>
    <sheet name="งบกระทบยอด " sheetId="12" r:id="rId12"/>
    <sheet name="Sheet1" sheetId="13" r:id="rId13"/>
  </sheets>
  <externalReferences>
    <externalReference r:id="rId16"/>
  </externalReferences>
  <definedNames>
    <definedName name="_xlnm.Print_Area" localSheetId="4">'กระดาษทำการ'!$A$1:$L$53</definedName>
    <definedName name="_xlnm.Print_Area" localSheetId="7">'งบกระแส '!$A$1:$D$50</definedName>
    <definedName name="_xlnm.Print_Area" localSheetId="5">'งบทดลอง '!$A$1:$D$53</definedName>
    <definedName name="_xlnm.Print_Area" localSheetId="1">'ใบผ่านรายการ  2'!$A$1:$H$57</definedName>
    <definedName name="_xlnm.Print_Area" localSheetId="0">'ใบผ่านรายการ 1 '!$A$1:$I$43</definedName>
    <definedName name="_xlnm.Print_Area" localSheetId="10">'หมายเหตุ 4 (2)'!$A$1:$AJ$21</definedName>
    <definedName name="_xlnm.Print_Area" localSheetId="8">'หมายเหตุ2'!$A$1:$F$19</definedName>
    <definedName name="_xlnm.Print_Titles" localSheetId="4">'กระดาษทำการ'!$1:$2</definedName>
    <definedName name="_xlnm.Print_Titles" localSheetId="3">'ใบผ่านทั่วไป'!$918:$922</definedName>
  </definedNames>
  <calcPr fullCalcOnLoad="1"/>
</workbook>
</file>

<file path=xl/sharedStrings.xml><?xml version="1.0" encoding="utf-8"?>
<sst xmlns="http://schemas.openxmlformats.org/spreadsheetml/2006/main" count="1802" uniqueCount="774">
  <si>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</si>
  <si>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</si>
  <si>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</si>
  <si>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</si>
  <si>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</si>
  <si>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ค่าที่ดินและสิ่งก่อสร้าง</t>
  </si>
  <si>
    <t>เงินรายรับ</t>
  </si>
  <si>
    <t>เงินสะสม</t>
  </si>
  <si>
    <t>ชื่อบัญชี</t>
  </si>
  <si>
    <t>เดบิท</t>
  </si>
  <si>
    <t>เครดิต</t>
  </si>
  <si>
    <t>รายได้เบ็ดเตล็ด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</si>
  <si>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</si>
  <si>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</si>
  <si>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</si>
  <si>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สำนักงานเทศบาลตำบลตลาดแค</t>
  </si>
  <si>
    <t>เงินรับฝาก(หมายเหตุ 2)</t>
  </si>
  <si>
    <t>ผู้ตรวจสอบ</t>
  </si>
  <si>
    <t>ธนาคารกรุงไทย        สาขาจอหอ</t>
  </si>
  <si>
    <t>ผ่าน1Dr</t>
  </si>
  <si>
    <t>ผ่าน2Cr</t>
  </si>
  <si>
    <t>ผ่าน1Cr</t>
  </si>
  <si>
    <t>ทั่วไปCr</t>
  </si>
  <si>
    <t>คงเหลือDr</t>
  </si>
  <si>
    <t>คงเหลือCr</t>
  </si>
  <si>
    <t>กรุงไทย  จอหอ  (461-2)</t>
  </si>
  <si>
    <t>จนถึงปัจจุบัน</t>
  </si>
  <si>
    <t>เดือนนี้</t>
  </si>
  <si>
    <t>ประมาณการ</t>
  </si>
  <si>
    <t>เกิดขึ้นจริง</t>
  </si>
  <si>
    <t>บาท</t>
  </si>
  <si>
    <t>ภาษีอากร</t>
  </si>
  <si>
    <t>ค่าธรรมเนียม ค่าปรับและใบอนุญาต</t>
  </si>
  <si>
    <t>รายได้จากทรัพย์สิน</t>
  </si>
  <si>
    <t>ผู้จัดทำ</t>
  </si>
  <si>
    <t>ลูกหนี้เงินยืมสะสม</t>
  </si>
  <si>
    <t>ลูกหนี้เงินยืมเงินสะสม</t>
  </si>
  <si>
    <t>เทศบาลตำบลตลาดแค  อำเภอโนนสูง  จังหวัดนครราชสีมา</t>
  </si>
  <si>
    <t>ที่ดิน/สิ่งก่อสร้าง</t>
  </si>
  <si>
    <t>รายจ่ายอื่น</t>
  </si>
  <si>
    <t>เงินทุนสำรองเงินสะสม</t>
  </si>
  <si>
    <t>รายรับ  (หมายเหตุ  1)</t>
  </si>
  <si>
    <t>เงินรับฝาก  (หมายเหตุ 2)</t>
  </si>
  <si>
    <t>เงินฝาก  กสท.</t>
  </si>
  <si>
    <t>รายได้จากทุน</t>
  </si>
  <si>
    <t>งบกลาง</t>
  </si>
  <si>
    <t>จำนวนเงิน</t>
  </si>
  <si>
    <t>รหัสบัญชี</t>
  </si>
  <si>
    <t>ยอดยกมา</t>
  </si>
  <si>
    <t xml:space="preserve">                      รวม</t>
  </si>
  <si>
    <t xml:space="preserve">                       รวม</t>
  </si>
  <si>
    <t>วันที่</t>
  </si>
  <si>
    <t>รายการ</t>
  </si>
  <si>
    <t xml:space="preserve"> </t>
  </si>
  <si>
    <t>รายได้จากสาธารณูปโภคและการพาณิชย์</t>
  </si>
  <si>
    <t>ลูกหนี้เงินยืมเงินงบประมาณ</t>
  </si>
  <si>
    <t>รายงานกระแสเงินสด</t>
  </si>
  <si>
    <t>ตั้งแต่ต้นปีถึงปัจจุบัน</t>
  </si>
  <si>
    <t>รับเงินรายรับ</t>
  </si>
  <si>
    <t>รับเงินรับฝาก</t>
  </si>
  <si>
    <t>รับเงินสด</t>
  </si>
  <si>
    <t>รับเงินสะสม</t>
  </si>
  <si>
    <t>รายละเอียดประกอบงบทดลองและรายงานรับ - จ่ายเงินสด</t>
  </si>
  <si>
    <t>รับ</t>
  </si>
  <si>
    <t>จ่าย</t>
  </si>
  <si>
    <t>คงเหลือ</t>
  </si>
  <si>
    <t>รวมรายรับ</t>
  </si>
  <si>
    <t>รายจ่าย</t>
  </si>
  <si>
    <t>รายจ่ายอื่น ๆ</t>
  </si>
  <si>
    <t>รวมรายจ่าย</t>
  </si>
  <si>
    <t>รวม</t>
  </si>
  <si>
    <t>เลขที่เช็ค</t>
  </si>
  <si>
    <t>เงินรับฝาก - ภาษีหัก  ณ  ที่จ่าย</t>
  </si>
  <si>
    <t>รวมทั้งสิ้น</t>
  </si>
  <si>
    <t xml:space="preserve">  </t>
  </si>
  <si>
    <t>บวก: หรือ (หัก)  รายการกระทบยอดอื่น ๆ</t>
  </si>
  <si>
    <t>เทศบาลตำบลตลาดแค</t>
  </si>
  <si>
    <t>งบทดลอง</t>
  </si>
  <si>
    <t>เงินสด</t>
  </si>
  <si>
    <t>ลูกหนี้เงินยืมงบประมาณ</t>
  </si>
  <si>
    <t>ค่าครุภัณฑ์</t>
  </si>
  <si>
    <t>รายจ่ายค้างจ่าย</t>
  </si>
  <si>
    <t>เงินอุดหนุนทั่วไป</t>
  </si>
  <si>
    <t>จ่ายเงินตามงบประมาณ</t>
  </si>
  <si>
    <t>จ่ายเงินรับฝาก</t>
  </si>
  <si>
    <t>รับ   สูง   หรือ  (ต่ำ)  กว่ารายจ่าย</t>
  </si>
  <si>
    <t>ภาษีจัดสรร</t>
  </si>
  <si>
    <t>เงินรับฝาก (หมายเหตุ 2)</t>
  </si>
  <si>
    <t>รายรับ</t>
  </si>
  <si>
    <t>ใบผ่านรายการบัญชีทั่วไป</t>
  </si>
  <si>
    <t xml:space="preserve">คำอธิบาย </t>
  </si>
  <si>
    <t>เงินฝากก.ส.ท.</t>
  </si>
  <si>
    <t>รับคืนเงินเดือน</t>
  </si>
  <si>
    <t>รับเงินจากลูกหนี้เงินยืมงบประมาณ</t>
  </si>
  <si>
    <t>ทรัพย์สินเกิดจากเงินกู้</t>
  </si>
  <si>
    <t>รายจ่ายรอจ่าย</t>
  </si>
  <si>
    <t>เจ้าหนี้เงินกู้- สพม.</t>
  </si>
  <si>
    <t>เจ้าหนี้เงินกู้-สำนักงานกองทุนพัฒนาเมืองฯ</t>
  </si>
  <si>
    <t xml:space="preserve">ทรัพย์สินเกิดจากเงินกู้ </t>
  </si>
  <si>
    <t>รับคืนลูกหนี้เงินยืมสะสม</t>
  </si>
  <si>
    <t>เงินฝากธนาคารกรุงไทย   (270-5)</t>
  </si>
  <si>
    <t>เงินฝากธนาคารกรุงไทย  (270-5)</t>
  </si>
  <si>
    <t>กรุงไทย  จอหอ  (270-5)</t>
  </si>
  <si>
    <t>ลูกหนี้เงินยืมตามงบประมาณ (ส่งใช้เงินยืม)</t>
  </si>
  <si>
    <t xml:space="preserve">รับเงินอุดหนุนเฉพาะกิจ </t>
  </si>
  <si>
    <t>จ่ายเงินอุดหนุนเฉพาะกิจ</t>
  </si>
  <si>
    <t>จ่ายเงินฝาก กสท.</t>
  </si>
  <si>
    <t>จ่ายเจ้าหนี้เงินกู้ (กองทุนเมือง)</t>
  </si>
  <si>
    <t>บวก : เงินฝากระหว่างทาง</t>
  </si>
  <si>
    <t>เงินฝากธนาคารกรุงไทย 270 - 5</t>
  </si>
  <si>
    <t>เงินฝากธนาคารกรุงไทย 461 - 2</t>
  </si>
  <si>
    <t>จ่ายเงินอุดหนุนโครงการไทยเข้มแข็ง</t>
  </si>
  <si>
    <t>รับเงินอุดหนุนโครงการไทยเข้มแข็ง</t>
  </si>
  <si>
    <t>เทศบาลตลาดแค</t>
  </si>
  <si>
    <t>หมายเหตุ</t>
  </si>
  <si>
    <t>เจ้าหนี้เงินกู้- กสท.</t>
  </si>
  <si>
    <t>เจ้าหนี้เงินกู้-กองทุนส่งเสริมกิจการเทศบาล</t>
  </si>
  <si>
    <t>เงินอุดหนุนเฉพาะกิจ (ส่งคืนจังหวัด)</t>
  </si>
  <si>
    <t>รับเงินกู้จากเจ้าหนี้(กู้กองทุนส่งเสริมกิจการเทศบาล)</t>
  </si>
  <si>
    <t>รับคืนค่าตอบแทน</t>
  </si>
  <si>
    <t xml:space="preserve">        </t>
  </si>
  <si>
    <t>งานการเงินและบัญชี กองคลัง เทศบาลตำบลตลาดแค</t>
  </si>
  <si>
    <t>ออมสินโนนสูง  (983-0)</t>
  </si>
  <si>
    <t>ใบผ่านรายการบัญชีมาตรฐาน (2)</t>
  </si>
  <si>
    <t xml:space="preserve">ปรับปรุงบัญชีเงินฝากธนาคารกรุงไทย (461-2) เข้าบัญชีเงินฝากธนาคารกรุงไทย (270-5) </t>
  </si>
  <si>
    <t xml:space="preserve">ธนาคารกรุงไทย        </t>
  </si>
  <si>
    <t>กระแสรายวัน</t>
  </si>
  <si>
    <t>สาขาจอหอ</t>
  </si>
  <si>
    <t>ค่าใช้จ่ายภาษีบำรุงท้องที่  5 %</t>
  </si>
  <si>
    <t xml:space="preserve">เงินฝากธนาคารกรุงไทย   (461-2) </t>
  </si>
  <si>
    <t>หมายเหตุ   2</t>
  </si>
  <si>
    <t>ออมสินโนนสูง  (224-2)</t>
  </si>
  <si>
    <t>ภาษีหัก  ณ  ที่จ่าย</t>
  </si>
  <si>
    <t>เงินประกันสัญญา (ตลาด)</t>
  </si>
  <si>
    <t>ออมสินโนนสูง  (5003-6)</t>
  </si>
  <si>
    <t>รับคืนเงินอุดหนุน</t>
  </si>
  <si>
    <t>รับฝากเดบิท</t>
  </si>
  <si>
    <t>รับฝากเครดิต</t>
  </si>
  <si>
    <t>ลูกหนี้เงินยืมเงินสะสม (ส่งใช้เงินยืม)</t>
  </si>
  <si>
    <t>รับคืนงบกลาง (เบิกเกินส่งคืน)</t>
  </si>
  <si>
    <t>รับคืนงบกลาง</t>
  </si>
  <si>
    <t>โครงการ</t>
  </si>
  <si>
    <t>รายจ่ายค้างจ่าย (หมายเหตุ 3)</t>
  </si>
  <si>
    <t>รับคืนเงินเดือน (เบิกเกินส่งคืน)</t>
  </si>
  <si>
    <t>รับคืนค่าจ้างประจำ (เบิกเกินส่งคืน)</t>
  </si>
  <si>
    <t>รับคืนค่าจ้างประจำ</t>
  </si>
  <si>
    <t>เงินขาดบัญชี</t>
  </si>
  <si>
    <t>เงินขาดบัญขี</t>
  </si>
  <si>
    <t>จ่ายเงินขาดบัญชี</t>
  </si>
  <si>
    <t>เงินรับฝาก  -หลักประกันซอง</t>
  </si>
  <si>
    <t>เงินรับฝาก - ค่าใช้จ่าย 5%</t>
  </si>
  <si>
    <t>เงินฝากธนาคารออมสินโนนสูง  (5003-6)</t>
  </si>
  <si>
    <t>เงินฝากธนาคารออมสินโนนสูง  (983-0)</t>
  </si>
  <si>
    <t>รวมรับเงินรับฝาก</t>
  </si>
  <si>
    <t>รับคืนค่าจ้างชั่วคราว (เบิกเกินส่งคืน)</t>
  </si>
  <si>
    <t>ยอดรวมตามงบทดลอง</t>
  </si>
  <si>
    <t>รับคืนค่าจ้างชั่วคราว</t>
  </si>
  <si>
    <t>ภาษีหน้าฎีกา</t>
  </si>
  <si>
    <t>ภาษีหักหน้าฎีกา</t>
  </si>
  <si>
    <t>รับคืนค่าใช้สอย (เบิกเกินส่งคืน)</t>
  </si>
  <si>
    <t>รับคืนค่าใช้สอย</t>
  </si>
  <si>
    <t>ทั่วไปDr</t>
  </si>
  <si>
    <t>ผ่าน2 Dr</t>
  </si>
  <si>
    <t>ค่าที่ดิน/สิ่งก่อสร้าง</t>
  </si>
  <si>
    <t>ผลต่างรายรับ-รายจ่าย</t>
  </si>
  <si>
    <t>รวมจ่ายงปม.</t>
  </si>
  <si>
    <t>รวมจ่ายฉก.</t>
  </si>
  <si>
    <t>ยอดตามงบรับจ่าย</t>
  </si>
  <si>
    <t>ผลต่าง</t>
  </si>
  <si>
    <t>(นางอังคนา  พริ้งกลาง)</t>
  </si>
  <si>
    <t>(นางกุลสิริ  เปรมกลาง)</t>
  </si>
  <si>
    <t>รายละเอียดดังนี้</t>
  </si>
  <si>
    <t>รับคืนลูกหนี้เงินขาดบัญชี</t>
  </si>
  <si>
    <t>เงินรับฝาก - เงินประกันสังคม</t>
  </si>
  <si>
    <t>เงินสมทบกองทุนประกันสังคม</t>
  </si>
  <si>
    <t>เงินหลักประกันสุขภาพ (สปสช.)</t>
  </si>
  <si>
    <t>ลำดับที่</t>
  </si>
  <si>
    <t>หมายเหตุ  3</t>
  </si>
  <si>
    <t>อำเภอโนนสูง จังหวัดนครราชสีมา</t>
  </si>
  <si>
    <t>บาท(เดือนที่แล้ว)</t>
  </si>
  <si>
    <t>เงินเกินบัญชี</t>
  </si>
  <si>
    <t>ยอดเดือนที่แล้ว</t>
  </si>
  <si>
    <t>จ่ายเงินสะสม</t>
  </si>
  <si>
    <t>เงินอุดหนุนทั่วไป - ระบุวัตถุประสงค์เพื่อพัฒนาประเทศ</t>
  </si>
  <si>
    <t>110202</t>
  </si>
  <si>
    <t>เงินเดือน (ฝ่ายการเมือง)</t>
  </si>
  <si>
    <t>เงินเดือน(ฝ่ายการเมือง)</t>
  </si>
  <si>
    <t>เงินเดือน(ฝ่ายประจำ)</t>
  </si>
  <si>
    <t>ค่าจ้างประจำ(ฝ่ายประจำ)</t>
  </si>
  <si>
    <t>ค่าจ้างชั่วคราว(ฝ่ายประจำ)</t>
  </si>
  <si>
    <t>140000</t>
  </si>
  <si>
    <t>400000</t>
  </si>
  <si>
    <t>310000</t>
  </si>
  <si>
    <t>532000</t>
  </si>
  <si>
    <t>411000</t>
  </si>
  <si>
    <t>412000</t>
  </si>
  <si>
    <t>413000</t>
  </si>
  <si>
    <t>415000</t>
  </si>
  <si>
    <t>416000</t>
  </si>
  <si>
    <t>531000</t>
  </si>
  <si>
    <t>561000</t>
  </si>
  <si>
    <t>541000</t>
  </si>
  <si>
    <t>542000</t>
  </si>
  <si>
    <t>551000</t>
  </si>
  <si>
    <t>120200</t>
  </si>
  <si>
    <t>510000</t>
  </si>
  <si>
    <t>รายจ่ายค้างจ่าย ประกอบงบทดลอง และรายรับ - จ่ายเงินสด</t>
  </si>
  <si>
    <t>เงินรับฝาก - เงินประกันสุขภาพ (สปสช.)</t>
  </si>
  <si>
    <t>ค่าจ้างชั่วคราวจ่ายจากเงินอุดหนุนทั่วไป-ระบุวัตถุประสงค์</t>
  </si>
  <si>
    <t>ค่าตอบแทนจ่ายจากเงินอุดหนุนทั่วไป-ระบุวัตถุประสงค์</t>
  </si>
  <si>
    <t>เงินเดือนจ่ายจากเงินอุดหนุนทั่วไป-ระบุวัตถุประสงค์</t>
  </si>
  <si>
    <t>ค่าจ้างประจำจ่ายจากเงินอุดหนุนทั่วไป-ระบุวัตถุประสงค์</t>
  </si>
  <si>
    <t>ค่าใช้สอยจ่ายจากเงินอุดหนุนทั่วไป-ระบุวัตถุประสงค์</t>
  </si>
  <si>
    <t>ค่าวัสดุจ่ายจากเงินอุดหนุนทั่วไป-ระบุวัตถุประสงค์</t>
  </si>
  <si>
    <t>เงินอุดหนุนทั่วไป - ระบุวัตถุประสงค์เงินเดือนบุคลากรถ่ายโอน</t>
  </si>
  <si>
    <t>เงินอุดหนุนทั่วไป - ระบุวัตถุประสงค์เงินบำนาญบุคลากรถ่ายโอน</t>
  </si>
  <si>
    <t>เงินอุดหนุนทั่วไป - ระบุวัตถุประสงค์เบี้ยยังชีพผู้สูงอายุ</t>
  </si>
  <si>
    <t>เงินอุดหนุนทั่วไป - ระบุวัตถุประสงค์เบี้ยยังชีพผู้พิการ</t>
  </si>
  <si>
    <t>เงินอุดหนุนทั่วไป - ระบุวัตถุประสงค์ประกันสังคม</t>
  </si>
  <si>
    <t>เงินอุดหนุนทั่วไป - ระบุวัตถุประสงค์ศูนย์พัฒน์เด็กเล็ก</t>
  </si>
  <si>
    <t>เงินอุดหนุนทั่วไป - ระบุวัตถุประสงค์เงินเดือนผู้ดูแลเด็ก</t>
  </si>
  <si>
    <t xml:space="preserve">งบกลางจ่ายจากเงินอุดหนุนทั่วไป-ระบุวัตถุประสงค์ </t>
  </si>
  <si>
    <t>จ่ายเงินอุดหนุนทั่วไป - ระบุวัตถุประสงค์</t>
  </si>
  <si>
    <t>เงินอุดหนุนทั่วไป - ระบุวัตถุประสงค์</t>
  </si>
  <si>
    <t>เงินหลักประกันซอง</t>
  </si>
  <si>
    <t>เงินฝากธนาคารออมสินโนนสูง  (224-2)</t>
  </si>
  <si>
    <t>เงินรับฝาก - เงินประกันซอง</t>
  </si>
  <si>
    <t>รับคืนค่าสาธารณูปโภค</t>
  </si>
  <si>
    <t>เงินรับฝาก - เงินสหกรณ์ออมทรัพย์พนักงานเทศบาล จำกัด</t>
  </si>
  <si>
    <t>เงินรับฝาก -  ค่าใช้จ่ายฉลองงานวันเด็กแห่งชาติ</t>
  </si>
  <si>
    <t>เบิกเกินส่งคืน - ค่าจ้างประจำ</t>
  </si>
  <si>
    <t>ค่าที่ดินและสิ่งก่อสร้างเงินอุดหนุนทั่วไป-ระบุวัตถุประสงค์(เพื่อพัฒนาประเทศ)</t>
  </si>
  <si>
    <t>เงินฝาก - กสท</t>
  </si>
  <si>
    <t>ลูกหนี้เงินยืมเงินรับฝาก</t>
  </si>
  <si>
    <t>จ่ายเงินอุดหนุนทั่วไป - ระบุวัตถุประสงค์(ตามยุทธศาสตร์)</t>
  </si>
  <si>
    <t>ค่าที่ดินและสิ่งก่อสร้างเงินอุดหนุนทั่วไป-ระบุวัตถุประสงค์(ตามยุทธศาสตร์)</t>
  </si>
  <si>
    <t>เงินรับฝาก - เงินหลักประกันสุขภาพ สปสช.</t>
  </si>
  <si>
    <t>215006</t>
  </si>
  <si>
    <t>215007</t>
  </si>
  <si>
    <t>111201-1</t>
  </si>
  <si>
    <t>111100</t>
  </si>
  <si>
    <t>111203</t>
  </si>
  <si>
    <t>111201</t>
  </si>
  <si>
    <t>111202</t>
  </si>
  <si>
    <t>111201-2</t>
  </si>
  <si>
    <t>215004</t>
  </si>
  <si>
    <t>215999</t>
  </si>
  <si>
    <t>113100</t>
  </si>
  <si>
    <t>เงินรายรับ(คืนเงินค่าขายแบบ))</t>
  </si>
  <si>
    <t>รายได้จากรัฐบาลค้างรับ</t>
  </si>
  <si>
    <t>113200</t>
  </si>
  <si>
    <t>เงินอุดหนุนทั่วไป - ระบุวัตถุประสงค์ค่าเช่าบ้านครู</t>
  </si>
  <si>
    <t>เงินอุดหนุนทั่วไป - โครงการป้องกันยาเสพติด</t>
  </si>
  <si>
    <t>511000</t>
  </si>
  <si>
    <t>421000</t>
  </si>
  <si>
    <t>431000</t>
  </si>
  <si>
    <t>113700</t>
  </si>
  <si>
    <t>441000</t>
  </si>
  <si>
    <t>121000</t>
  </si>
  <si>
    <t>521000</t>
  </si>
  <si>
    <t>534000</t>
  </si>
  <si>
    <t>533000</t>
  </si>
  <si>
    <t>211000</t>
  </si>
  <si>
    <t>215000</t>
  </si>
  <si>
    <t>เห็นควรให้ปรับปรุงรายการข้างต้น</t>
  </si>
  <si>
    <t>ลงชื่อ .................................................... ผู้จัดทำ</t>
  </si>
  <si>
    <t>ลงชื่อ ............................................. ผู้อนุมัติ</t>
  </si>
  <si>
    <t>ลงชื่อ ............................................. ผู้ตรวจสอบ</t>
  </si>
  <si>
    <t>เงินอุดหนุนระบุ</t>
  </si>
  <si>
    <t>วัตถุประสงค์/</t>
  </si>
  <si>
    <t>เฉพาะกิจ (บาท)</t>
  </si>
  <si>
    <t>ที่เกิดขึ้นจริง</t>
  </si>
  <si>
    <t>(บาท)</t>
  </si>
  <si>
    <r>
      <t>รายรับ</t>
    </r>
    <r>
      <rPr>
        <sz val="13"/>
        <rFont val="TH SarabunPSK"/>
        <family val="2"/>
      </rPr>
      <t xml:space="preserve"> ( หมายเหตุ 1 )</t>
    </r>
  </si>
  <si>
    <t>สูงกว่า</t>
  </si>
  <si>
    <t>(ต่ำกว่า)</t>
  </si>
  <si>
    <t>522000</t>
  </si>
  <si>
    <t xml:space="preserve">             ยอดยกไป</t>
  </si>
  <si>
    <t>522000-1</t>
  </si>
  <si>
    <t>531000-1</t>
  </si>
  <si>
    <t>เงินอุดหนุนทั่วไป - ระบุวัตถุประสงค์คชจ.ในการจัดการศึกษาตั้งแต่ระดับอนุบาลฯ</t>
  </si>
  <si>
    <t>441002</t>
  </si>
  <si>
    <t>511000-1</t>
  </si>
  <si>
    <t>หมายเหตุ 4</t>
  </si>
  <si>
    <t>รายละเอียดประกอบงบทดลองและรายงานรับ-จ่ายเงินอุดหนุนเฉพาะกิจ</t>
  </si>
  <si>
    <t>รวมรับเงินอุดหนุนเฉพาะกิจ</t>
  </si>
  <si>
    <t>พ.ย. 58</t>
  </si>
  <si>
    <t>ธ.ค. 58</t>
  </si>
  <si>
    <t>เบิกจ่ายทั้งสิ้น</t>
  </si>
  <si>
    <t>สนับสนุนการบริหารจัดการของอปท.ตามยุทธศาสตร์</t>
  </si>
  <si>
    <t>ค่าเช่าบ้านพักพนักงานครู</t>
  </si>
  <si>
    <t>เงินบำนาญบุคลากรถ่ายโอน</t>
  </si>
  <si>
    <t>เงินเดือนบุคลากรถ่ายโอน</t>
  </si>
  <si>
    <t>เงินช่วยเหลือการศึกษาบุตร</t>
  </si>
  <si>
    <t>เบี้ยยังชีพผู้สูงอายุ</t>
  </si>
  <si>
    <t>เบี้ยยังชีพผู้พิการ</t>
  </si>
  <si>
    <t>เงินประกันสังคม</t>
  </si>
  <si>
    <t>เงินเดือนผู้ดูแลเด็ก</t>
  </si>
  <si>
    <t>เงินสนับสนุนทุนการศึกษา(ศูนย์พัฒนา)</t>
  </si>
  <si>
    <t>โครงการป้องกันยาเสพติด</t>
  </si>
  <si>
    <t>สนับสนุนครุภัณฑ์ศูนย์เด็กเล็ก</t>
  </si>
  <si>
    <t xml:space="preserve">                    - 2 -  </t>
  </si>
  <si>
    <t xml:space="preserve">                                                                                เทศบาลตำบลตลาดแค</t>
  </si>
  <si>
    <t xml:space="preserve">                                                                                รายงาน   รับ - จ่ายเงิน</t>
  </si>
  <si>
    <t>รับคืน</t>
  </si>
  <si>
    <t>ค่าที่ดินและสิ่งก่อสร้างเงินอุดหนุนทั่วไป-ระบุวัตถุประสงค์/อุดหนุนเฉพาะกิจ</t>
  </si>
  <si>
    <t>เงินอุดหนุนเฉพาะกิจ-สนับสนุนอาคารเรียน(อาคารเรียน 4 ช้น 12 ห้อง)</t>
  </si>
  <si>
    <t>เงินอุดหนุนเฉพาะกิจ-สำหรับพัฒนา อปท.(ทางไปบ่อขยะ)</t>
  </si>
  <si>
    <t>เงินอุดหนุนทั่วไป - ระบุวัตถุประสงค์ค่าเงินช่วยเหลือการศึกษาบุตร</t>
  </si>
  <si>
    <t>ลูกหนี้-จีเอ็ม ไอทีโซลูชั่น</t>
  </si>
  <si>
    <t>เงินโครงการป้องกันยาเสพติด</t>
  </si>
  <si>
    <t>เงินรับฝาก - รอคืนจังหวัด</t>
  </si>
  <si>
    <t>ลูกหนี้เงินสะสม</t>
  </si>
  <si>
    <t>เจ้าหนี้เงินสะสม</t>
  </si>
  <si>
    <t>รายจ่ายค้างจ่าย(เงินอุดหนุนเฉพาะกิจ</t>
  </si>
  <si>
    <t>รายจ่ายค้างจ่ายเงินเพื่อพัฒนาประเทศ</t>
  </si>
  <si>
    <t>ประจำเดือนตุลาคม 2558</t>
  </si>
  <si>
    <t>ยกมาปี 58</t>
  </si>
  <si>
    <t>โอน ต.ค.58</t>
  </si>
  <si>
    <t>โอนพ.ย.58</t>
  </si>
  <si>
    <t>โอน ธ.ค.58</t>
  </si>
  <si>
    <t>โอน ม.ค. 59</t>
  </si>
  <si>
    <t>เงินอุดหนุนทั่วไป - ระบุวัตถุประสงค์เงินสมทบกองทุนประกันสังคม</t>
  </si>
  <si>
    <t>113600</t>
  </si>
  <si>
    <t>ลูกหนี้อื่น ๆ</t>
  </si>
  <si>
    <t>เงินรับฝาก - ประกันสัญญาเช่าทรัพย์สิน(ตลาด)</t>
  </si>
  <si>
    <t>เงินรับฝาก - ประกันสัญญา</t>
  </si>
  <si>
    <t>ประกันสัญญา</t>
  </si>
  <si>
    <t>เงินสนับสนุนศูนย์พัฒนาเด็กเล็ก(ค่าจัดการเรียนการสอน)</t>
  </si>
  <si>
    <t>งบกระทบยอดเงินฝากธนาคาร</t>
  </si>
  <si>
    <t>ลูกหนี้เงินยืมเงินอุดหนุนทั่วไประบุวัตถุประสงค์</t>
  </si>
  <si>
    <t>215001</t>
  </si>
  <si>
    <t>113800</t>
  </si>
  <si>
    <t>เงินอุดหนุนทั่วไป - ระบุวัตถุประสงค์ส่เงินทุนสำหรับการศึกษา (ผดด.)</t>
  </si>
  <si>
    <t>เงินอุดหนุนทั่วไป - ระบุวัตถุประสงค์เงินทุนการศึกษาสำหรับผู้ดูแลเด็ก</t>
  </si>
  <si>
    <t>โอน ก.พ. 59</t>
  </si>
  <si>
    <t>โอน มี.ค. 59</t>
  </si>
  <si>
    <t>โอน เม.ย.59</t>
  </si>
  <si>
    <t>โอนพ.ค.59</t>
  </si>
  <si>
    <t>โอนมิ.ย.59</t>
  </si>
  <si>
    <t>โอนก.ค.59</t>
  </si>
  <si>
    <t>โอนส.ค.59</t>
  </si>
  <si>
    <t>โอนก.ย.59</t>
  </si>
  <si>
    <t>ม.ค. 59</t>
  </si>
  <si>
    <t>ก.พ. 59</t>
  </si>
  <si>
    <t>มี.ค. 59</t>
  </si>
  <si>
    <t>เม.ย. 59</t>
  </si>
  <si>
    <t>พ.ค. 59</t>
  </si>
  <si>
    <t>มิ.ย. 59</t>
  </si>
  <si>
    <t xml:space="preserve"> ก.ค. 59</t>
  </si>
  <si>
    <t xml:space="preserve"> ส.ค. 59</t>
  </si>
  <si>
    <t>ก.ย.593</t>
  </si>
  <si>
    <t>ใบผ่านรายการบัญชีมาตรฐาน (1)</t>
  </si>
  <si>
    <t xml:space="preserve">เงินรับฝาก  -เงินประกันสัญญา </t>
  </si>
  <si>
    <t>215009</t>
  </si>
  <si>
    <t>เงินรับฝาก  -เงินประกันสัญญาเช่าทรัพย์สิน (ตลาด)</t>
  </si>
  <si>
    <t>เบิกเกินส่งคืน - ค่าใช้จ่ายในการเดินทางไปราชการ</t>
  </si>
  <si>
    <t>412210</t>
  </si>
  <si>
    <t>รับคืนลูกหนี้เงินยืมเงินอุดหนุนทั่วไประบุว้ตถุประสงค์</t>
  </si>
  <si>
    <t>ลูกหนี้เงินยืมเงิน</t>
  </si>
  <si>
    <t>ลูกหนี้เงินยืม</t>
  </si>
  <si>
    <t>เบิกเกินส่งคืน - เงินสะสม</t>
  </si>
  <si>
    <t>เบิกเกินส่งคืน - เงินเดือน</t>
  </si>
  <si>
    <t>215014</t>
  </si>
  <si>
    <t>เงินรับฝาก -รอคืนจังหวัด</t>
  </si>
  <si>
    <t>เงินรับฝาก - เงินค่าตอบแทนตัวแทนสหกรณ์เทศบาล จำกัด</t>
  </si>
  <si>
    <t>รายได้ค่าปรับ</t>
  </si>
  <si>
    <t>ปรับปรุงบัญชีรายรับ</t>
  </si>
  <si>
    <t>เงินอุดหนุนเฉพาะกิจ-ก่อสร้างอาคารศูนย์เด็กเล็ก</t>
  </si>
  <si>
    <t>รายจ่ายค้างจ่าย(เงินอุดหนุนเฉพาะกิจ)</t>
  </si>
  <si>
    <t>ค่าก่อสร้างศูนย์เด็กเล็ก (เงินอุดหนุนเฉพาะกิจ)</t>
  </si>
  <si>
    <t>เจ้าหนี้เงินกู้-ก.ส.ท.</t>
  </si>
  <si>
    <t>220103</t>
  </si>
  <si>
    <t>112300</t>
  </si>
  <si>
    <t>ทรัพย์สินเกิดจากเงินกู้(รถกระเช้า)</t>
  </si>
  <si>
    <t>รายจ่ายทรัยพ์สินที่เกิดจากเงินกู้</t>
  </si>
  <si>
    <t>ตำแหน่ง เจ้าพนักงานการเงินและบัญชีชำนาญงาน</t>
  </si>
  <si>
    <t xml:space="preserve">        ตำแหน่ง เจ้าพนักงานการเงินและบัญชีชำนาญงาน</t>
  </si>
  <si>
    <r>
      <t>กองคลัง</t>
    </r>
    <r>
      <rPr>
        <sz val="16"/>
        <rFont val="TH SarabunPSK"/>
        <family val="2"/>
      </rPr>
      <t xml:space="preserve">  (งานการเงินและบัญชี)</t>
    </r>
  </si>
  <si>
    <r>
      <t xml:space="preserve">กองคลัง </t>
    </r>
    <r>
      <rPr>
        <sz val="16"/>
        <rFont val="TH SarabunPSK"/>
        <family val="2"/>
      </rPr>
      <t>(งานการเงินและบัญชี)</t>
    </r>
  </si>
  <si>
    <r>
      <t xml:space="preserve">ประเภท     </t>
    </r>
    <r>
      <rPr>
        <b/>
        <sz val="16"/>
        <rFont val="TH SarabunPSK"/>
        <family val="2"/>
      </rPr>
      <t xml:space="preserve"> ออมทรัพย์</t>
    </r>
  </si>
  <si>
    <r>
      <t xml:space="preserve">เลขที่บัญชี    </t>
    </r>
    <r>
      <rPr>
        <b/>
        <sz val="16"/>
        <rFont val="TH SarabunPSK"/>
        <family val="2"/>
      </rPr>
      <t>341-0-29270-5</t>
    </r>
  </si>
  <si>
    <r>
      <t>รายละเอียด</t>
    </r>
    <r>
      <rPr>
        <b/>
        <sz val="16"/>
        <rFont val="TH SarabunPSK"/>
        <family val="2"/>
      </rPr>
      <t xml:space="preserve">   </t>
    </r>
  </si>
  <si>
    <r>
      <t>หัก</t>
    </r>
    <r>
      <rPr>
        <sz val="16"/>
        <rFont val="TH SarabunPSK"/>
        <family val="2"/>
      </rPr>
      <t xml:space="preserve">  </t>
    </r>
  </si>
  <si>
    <r>
      <t>บวก</t>
    </r>
    <r>
      <rPr>
        <sz val="16"/>
        <rFont val="TH SarabunPSK"/>
        <family val="2"/>
      </rPr>
      <t>:</t>
    </r>
  </si>
  <si>
    <r>
      <t xml:space="preserve">ประเภท     </t>
    </r>
    <r>
      <rPr>
        <b/>
        <sz val="16"/>
        <rFont val="TH SarabunPSK"/>
        <family val="2"/>
      </rPr>
      <t xml:space="preserve"> </t>
    </r>
  </si>
  <si>
    <r>
      <t xml:space="preserve">เลขที่บัญชี    </t>
    </r>
    <r>
      <rPr>
        <b/>
        <sz val="16"/>
        <rFont val="TH SarabunPSK"/>
        <family val="2"/>
      </rPr>
      <t>341-6-00461-2</t>
    </r>
  </si>
  <si>
    <t>เงินอุดหนุนทั่วไป-ระบุวัตถุกำหนดวัตถุประสงค์(เบี้ยยังชีพผู้สูงอายุ)</t>
  </si>
  <si>
    <t>เงินอุดหนุนทั่วไป-ระบุวัตถุกำหนดวัตถุประสงค์(เบี้ยยังชีพพิการ)</t>
  </si>
  <si>
    <t>เงินรับฝาก -เงินช่วยเหลือ</t>
  </si>
  <si>
    <t>เงินรับฝากรอคืนจังหวัด</t>
  </si>
  <si>
    <t>230108</t>
  </si>
  <si>
    <t>เงินอุดหนุนทั่วไป-ระบุวัตถุประสงค์ค่าจัดการเรียนการสอน</t>
  </si>
  <si>
    <t>415999</t>
  </si>
  <si>
    <t>เงินรับฝาก - เงินภาษีหัก ณ ที่จ่าย</t>
  </si>
  <si>
    <t>เงินค่าดำเนินการปรับสภาพแวดล้อมคนพิการ</t>
  </si>
  <si>
    <t>นายกเทศมนตรีตำบลตลาดแค</t>
  </si>
  <si>
    <t>(นายชัยรัตน์  กิตติหิรัญวัฒน์)</t>
  </si>
  <si>
    <t>..........................................</t>
  </si>
  <si>
    <t>ภาษีธุรกิจเฉพาะ</t>
  </si>
  <si>
    <t>ภาษีมูลค่าเพิ่มตาม พรบ.กำหนดแผนและขั้นตอน</t>
  </si>
  <si>
    <t>ประจำเดือน ก.ค.59</t>
  </si>
  <si>
    <t xml:space="preserve">   (นางสุพรรณิการ์  กอบเขตกรรม)</t>
  </si>
  <si>
    <t xml:space="preserve"> ตำแหน่ง ผู้อำนวยการกองคลัง</t>
  </si>
  <si>
    <t>ค่าธรรมเนียมจดทะเบียนสิทธิและนิติกรรมฯ</t>
  </si>
  <si>
    <t>.</t>
  </si>
  <si>
    <t>เงินรับฝาก - โครงการปรับสภาพแวดล้อมคนพิการ</t>
  </si>
  <si>
    <t>เงินอุดหนุนทั่วไป-ระบุวัตถุประสงค์โครงการปรับเปลี่ยนพฤติกรรมฯ</t>
  </si>
  <si>
    <t>190004</t>
  </si>
  <si>
    <t>290001</t>
  </si>
  <si>
    <t>ปรับปรุงบัญชีลูกหนี้เงินสะสมและเจ้าหนี้เงินสะสม จำนวน 1 ฎีกา รับเงินจัดสรร</t>
  </si>
  <si>
    <t>เงินอุดหนุนทั่วไปกำหนดวัตถุประสงค์-ค่าตอบแทน</t>
  </si>
  <si>
    <t>เงินภาษีและค่าธรรมเนียมรถยนต์</t>
  </si>
  <si>
    <t>งวดเดือน พ.ค.59 FGMIS งวดที่ 8</t>
  </si>
  <si>
    <t>ค่าธรรมเนียมจดทะเบียนสิทธิ์และนิติกรรมฯ</t>
  </si>
  <si>
    <t>ภาษีมูลค่าเพิ่ม 1 ใน 9</t>
  </si>
  <si>
    <t>ภาษีสุรา</t>
  </si>
  <si>
    <t>ภาษีสรรพสามิต</t>
  </si>
  <si>
    <t>ภาษีธุรกินเฉพาะ</t>
  </si>
  <si>
    <t xml:space="preserve">    วันที่  23   เดือน กันยายน พ.ศ. 2559</t>
  </si>
  <si>
    <t>ส่งใช้เงินยืมงบประมาณของนางสาวอานุวัน  พิมพิชัย จำนวน 1 ฏีกา</t>
  </si>
  <si>
    <t>ส่งใช้เงินยืมฎีกาที่ 977/59 เพื่อจ่ายดำเนินโครง</t>
  </si>
  <si>
    <t>การพัฒนาศักยภาพบุคลากรของเทศบาล</t>
  </si>
  <si>
    <t xml:space="preserve">ประจำปีงบประมาณ 2559 </t>
  </si>
  <si>
    <t>ส่งใช้เงินยืมฎีกาที่ 978/59 เพื่อจ่ายดำเนินโครง</t>
  </si>
  <si>
    <t>การฝึกอบรมเพิ่มประสิทธิภาพผู้บริหารท้องถิ่นและ</t>
  </si>
  <si>
    <t>สมาชิกสภาท้องถิ่น ประจำปีงบประมาณ 2559</t>
  </si>
  <si>
    <t>เลขที่  103/2559</t>
  </si>
  <si>
    <t>เลขที่  104/2559</t>
  </si>
  <si>
    <t>เลขที่  105/2559</t>
  </si>
  <si>
    <t xml:space="preserve">    วันที่  30   เดือน กันยายน พ.ศ. 2559</t>
  </si>
  <si>
    <t>ค่าภาคหลวงแร่ งวดที่ 2/2559</t>
  </si>
  <si>
    <t>เงินอุดหนุนทั่วไป-เงินอุดหนุนสำหรับการจัดการ</t>
  </si>
  <si>
    <t>ศึกษาภาคบังคับค่าเช่าบ้าน</t>
  </si>
  <si>
    <t>เงินภาษีและค่าธรรมเนียมรถยนต์ ประจำเดือน</t>
  </si>
  <si>
    <t>สิงหาค 2559</t>
  </si>
  <si>
    <t>เงินอุดหนุนทั่วไป-ส่งเสริมศักยภาพการจัดการ</t>
  </si>
  <si>
    <t>ศึกษาของท้องถิ่นไตรมาสที่ 4</t>
  </si>
  <si>
    <t>เลขที่  106/2559</t>
  </si>
  <si>
    <t>ภาษีมูลค่าเพิ่มูลค่าเพิ่มตาม พ.ร.บ. กำหนดแผน</t>
  </si>
  <si>
    <t>และขั้นตอนการกระจายอำนาจ เดือน มิ.ย.59</t>
  </si>
  <si>
    <t>ประจำเดือน สิงหาคม 2559</t>
  </si>
  <si>
    <t>เลขที่  107/2559</t>
  </si>
  <si>
    <t>ค่าใบอนุญาตขายสุรา</t>
  </si>
  <si>
    <t>เลขที่  108/2559</t>
  </si>
  <si>
    <t>ส่งใช้เงินยืมงบประมาณของนายบุญส่ง  กาดกลาง จำนวน 1 ฏีกา</t>
  </si>
  <si>
    <t>ส่งใช้เงินยืมฎีกาที่ 1075/59 เพื่อจ่ายเงินทำ</t>
  </si>
  <si>
    <t>ประกันภัยรถยนต์</t>
  </si>
  <si>
    <t xml:space="preserve">    วันที่  30 เดือน กันยายน พ.ศ. 2559</t>
  </si>
  <si>
    <t>ปรับปรุงบัญชีรายได้เบ็ดเตล็ดจากร้านปะการัง</t>
  </si>
  <si>
    <t>เลขที่  110/2559</t>
  </si>
  <si>
    <t xml:space="preserve">    วันที่  30  เดือน กันยายน พ.ศ. 2559</t>
  </si>
  <si>
    <t>จ่ายเงินค่าตอบแทนผู้ดูแลเด็ก ประจำเดือน ก.ย.59</t>
  </si>
  <si>
    <t>เลขที่  111/2559</t>
  </si>
  <si>
    <t>40000</t>
  </si>
  <si>
    <t>ผู้ดูแลเด็ก</t>
  </si>
  <si>
    <t>เงินอุดหนุนทั่วไปกำหนดวัตถุประสงค์-ประกันสังคม</t>
  </si>
  <si>
    <t>เลขที่  112/2559</t>
  </si>
  <si>
    <t>ปรับปรุงบัญชีรายรับเข้าเป็นรายได้จากรัฐบาลค้างรับ</t>
  </si>
  <si>
    <t>โอนบัญชีรายจ่ายค้างจ่ายเข้าบัญชีเงินสะสม</t>
  </si>
  <si>
    <t>เลขที่  113/2559</t>
  </si>
  <si>
    <t>เลขที่  114/2559</t>
  </si>
  <si>
    <t>จำนวนโครงการ</t>
  </si>
  <si>
    <t>กรณีหนี้ผูกพัน</t>
  </si>
  <si>
    <t>กรณีหนี้ไม่ผูกพัน</t>
  </si>
  <si>
    <t>โบนัส</t>
  </si>
  <si>
    <t>เลขที่  115/2559</t>
  </si>
  <si>
    <t>เจ้าหนี้เงินกู้-สำนักงานเงินทุนส่งเสริมกิจการเทศบาล</t>
  </si>
  <si>
    <t>220102</t>
  </si>
  <si>
    <t>ปรับปรุงบัญชีรายจ่ายค้างจ่ายประจำปีงบประมาณ พ.ศ. 2558 สำหรับโครงการที่ได้รับอนุมัติให้กัน</t>
  </si>
  <si>
    <t>เงินไว้เบิกตัดปีรายละเอียด ดังนี้</t>
  </si>
  <si>
    <t>221102</t>
  </si>
  <si>
    <t xml:space="preserve">สำนักงานเงินทุนส่งเสริมกิจการเทศบาล เข้าบัญชีเงินสะสม ตามฎีกาที่ 10702/59 </t>
  </si>
  <si>
    <t>ปรับปรุงการชำระหนี้เงินกู้ เงินต้นจำนวนเงิน 286,416.35 บาท โดยลดยอดบัญชีเจ้าหนี้เงินกู้</t>
  </si>
  <si>
    <t>ปรับปรุงการชำระหนี้เงินกู้ เงินต้นงวดที่ จำนวนเงิน 152,667 บาท โดยลดยอดบัญชีเจ้าหนี้เงินกู้</t>
  </si>
  <si>
    <t xml:space="preserve">สำนักงานเงินกองทุนเมืองฯ เข้าบัญชีเงินสะสม ตามฎีกาที่ 683/59 </t>
  </si>
  <si>
    <t>เลขที่  116/2559</t>
  </si>
  <si>
    <t>เลขที่  117/2559</t>
  </si>
  <si>
    <t>เงินอุดนุนทั่วไปกำหนดวัตถุประสงค์-เงินช่วยเหลือการศึกษาบุตร</t>
  </si>
  <si>
    <t>เงินอุดนุนทั่วไปกำหนดวัตถุประสงค์-เบี้ยยังชีพผู้สูงอายุ</t>
  </si>
  <si>
    <t>เงินอุดหนุนทั่วไปกำหนดวัตถุประสงค์-เบี้ยยังชีพผู้พิการ</t>
  </si>
  <si>
    <t>499999</t>
  </si>
  <si>
    <t>ปรับปรุงบัญชีเงินรายรับ</t>
  </si>
  <si>
    <t>เงินรับฝากรอคืนจังหวัด-เงินช่วยเหลือบุตร</t>
  </si>
  <si>
    <t>เงินรับฝากรอคืนจังหวัด-เบี้ยยังชีพผู้สูงอายุ</t>
  </si>
  <si>
    <t>เงินรับฝากรอคืนจังหวัด-เบี้ยยังชีพผู้พิการ</t>
  </si>
  <si>
    <t>บันทึกบัญชีเงินรับฝากรอส่งคืนจังหวัด</t>
  </si>
  <si>
    <t>จ่ายเงินค่าตอบแทนผู้ดูแลเด็ก ประจำเดือน ก.ย.59 จำนวนเงิน 10,500 บาท</t>
  </si>
  <si>
    <t>โครงการจัดซื้ออาหารเสริม(นม) ตามสัญญาซื้อขาย เลขที่ CNTR 0042/2559 ลงวันที่ 22 มิถุนายน 2559  จากสหกรณ์โคนมวังน้ำเย็น</t>
  </si>
  <si>
    <t>โครงการปรับปรุงซอมแซมอาคารบ้านพักคนชราเทศบาลตำบลตลาดแค สัญญาจ้างเลขที่ CNTR 0053/59 ลงวันที่ 14 กันยายน 2559</t>
  </si>
  <si>
    <t>โครงการวางท่อระบายน้ำ คสล.ถนนเทศบาลซอย 9/2 ชุมชนโนนพิมาน หมู่ 12 (ช่วงบ้านนายคูณ - บ้านนายต่วน)</t>
  </si>
  <si>
    <t>โครงการก่อสร้างถนนดิน ถ.เทศบาล ซอย 12 หลังโรงเรียนธารปราสาทเพชรวิทยาชุมชนสำโรงตะวันตก หมู่ 1</t>
  </si>
  <si>
    <t>โครงการปรับปรุงซ่อมแซมและขยายท่อเมนประปาเทศบาลตำบลตลาดแค</t>
  </si>
  <si>
    <t>ปรับปรุงไหล่ทางถนนมิตรภาพบริเวณหน้าห้องแถว ชุมชนโนนพิมาน หมู่ 12</t>
  </si>
  <si>
    <t>ปรับปรุงไหล่ทางถนนมิตรภาพจากหินคลุกเป็นแอสฟัลท์ติกคอนกรีต ชุมชนโนนหนามแดง หมู่ 12</t>
  </si>
  <si>
    <t>ปรับปรุง/ซ่อมแซม ระบบระบายน้ำ ถนนเทศบาลซอย 9/2 (ครูวงเดือน) ชุมชนโนนพิมาน หมู่ 12</t>
  </si>
  <si>
    <t>วางท่อระบายน้ำ คสล.ถนนเทศบาล ซอย 1 ชุมชนโนนพิมาน หมู่ 12</t>
  </si>
  <si>
    <t>ก่อสร้างถนน คสล. ถนนเทศบาลซอย 13/2 (จากบ้านนายปลื้ม  พิมปรุ-ลำธารปราสาท) ชุมชนตะบบที่ 4</t>
  </si>
  <si>
    <t>โครงการปรับปรุงตลาดไนท์เทศบาลตำบลตลาดแค (กองสาธารณสุขและสิ่งแวดล้อม)</t>
  </si>
  <si>
    <t>โครงการปรับปรุงห้องเก็บของเป็นห้องครัว (สำนักปลัด)</t>
  </si>
  <si>
    <t>ครุภัณฑ์คอมพิวเตอร์ เครื่องคอมพิวเตอร์สำหรับประมวลผล จำนวน 1 ชุด</t>
  </si>
  <si>
    <t>ไม้สต๊าฟอลูมิเนียม แบบชัดขนาด 3 เมตร จำนวน 1 อัน</t>
  </si>
  <si>
    <t>ล้อวัดระยะทาง วัดไกล 10 กม. อ่านรายละเอียด 10 ซม. จำนวน 1 อัน</t>
  </si>
  <si>
    <t>ครุภัณฑ์คอมพิวเตอร์ เครื่องสำรองไฟฟ้า จำนวน 1 เครื่อง</t>
  </si>
  <si>
    <t>ครุภัณฑ์คอมพิวเตอร์ เครื่องพิมพ์ Multifunction จำนวน 1 เครื่อง หมึก inkjet จำนวน 1 เครื่อง</t>
  </si>
  <si>
    <t>วิทยุสื่อสารประจำห้องวิทยุสื่อสาร จำนวน 1 เครื่อง</t>
  </si>
  <si>
    <t>ถังน้ำแข็งไม่ต่ำกว่า 450 ลิตร จำนวน 1 ถัง</t>
  </si>
  <si>
    <t>ตู้เหล็ก มอก. ขนาด 2 บานเปิด จำนวน 1 หลัง</t>
  </si>
  <si>
    <t>เครื่องเสียงเพื่อใช้ในการปฏิบัติงาน จำนวน 1 ชุด</t>
  </si>
  <si>
    <t>ค่าตอบแทนอื่นเป็นกรณีพิเศษ (โบนัส)</t>
  </si>
  <si>
    <t>ปรับปรุง/ซ่อมแซมถนนผิวทางแอสฟัลท์ติกคอนกรีต ถนน เทศบาลซอย 4 ชุมชนสำโรงตะวันออก หมู่ 1</t>
  </si>
  <si>
    <t>441001</t>
  </si>
  <si>
    <t>เลขที่  118/2559</t>
  </si>
  <si>
    <t>เลขที่  119/2559</t>
  </si>
  <si>
    <t>เลขที่  109/2559</t>
  </si>
  <si>
    <t xml:space="preserve">                       ตำแหน่ง       ผู้อำนวยการกองคลัง</t>
  </si>
  <si>
    <t>เลขที่  120/2559</t>
  </si>
  <si>
    <t>ภาษีบำรุงท้องที่</t>
  </si>
  <si>
    <t>ภาษีป้าย</t>
  </si>
  <si>
    <t>ค่าธรรมเนียเก็บและขนมูลฝอย</t>
  </si>
  <si>
    <t>ค่าธรรมเนียมเกี่ยวกับการควบคุมอาคาร</t>
  </si>
  <si>
    <t>ค่าธรรมเนียเกี่ยวกับงานทะเบียนราษฎร์</t>
  </si>
  <si>
    <t>ค่าธรรมเนียมจดทะเบียนพาณิชย์</t>
  </si>
  <si>
    <t>ค่าปรับผู้กระทำผิดกฎหมายจราจรทางบก</t>
  </si>
  <si>
    <t>ค่าปรับผู้กระทำผิดกฎหายสาธาณสุข (รวมใบอนุญาต)</t>
  </si>
  <si>
    <t>ค่าใบอนุญาตจำหน่ายสินค้าในที่หรือทางสาธารณะ</t>
  </si>
  <si>
    <t>ค่าใบอนุญาตเกี่ยวกับการควบคุมอาคาร</t>
  </si>
  <si>
    <t>ค่าใบอนุญาตประกอบการค้าสำหรับกิจการที่เป็นอันตรายต่อสุขภาพ</t>
  </si>
  <si>
    <t>ค่าใบอนุญาติจัดตั้งสถานที่จำหน่ายหรือสถานที่สะสมอาหารในอาคาร</t>
  </si>
  <si>
    <t>ค่าใบอนุญาตเกี่ยวกับการโฆษณาโดยใช้เครื่องขยายเสียง</t>
  </si>
  <si>
    <t>ค่าใบอนุญาตให้เป็นบุคคลรับจ้างตัดแต่งผม</t>
  </si>
  <si>
    <t>ค่าปรับการผิดสัญญา</t>
  </si>
  <si>
    <t>ใบอนุญาตควบคุมน้ำมันเชื้อเพลิง</t>
  </si>
  <si>
    <t>ค่าธรรมเนียเกี่ยวกับใบอนุญาตขายสุรา</t>
  </si>
  <si>
    <t>ค่าธรรมเนียเก็บขนอุจจาระและสิ่งปฏิกูล</t>
  </si>
  <si>
    <t>ค่าเช่าตลาดหรือค่าบริการสถานที่</t>
  </si>
  <si>
    <t>ดอกเบี้ยธนาคาร /ดอกเบี้ย กสท.</t>
  </si>
  <si>
    <t>ค่าขายแบบแปลน</t>
  </si>
  <si>
    <t>ค่าจำหน่ายแบบพิมพ์และคำร้อง</t>
  </si>
  <si>
    <t>รายได้เบ็ดเตล็ดอื่น ๆ</t>
  </si>
  <si>
    <t>ภาษีมูลค่าเพิ่ม ตาม พรบ.กำหนดแผนและขั้นตอนการกระจายอำนาจ</t>
  </si>
  <si>
    <t>ค่าภาคหลวงแร่</t>
  </si>
  <si>
    <t>ค่าภาคหลวงปิโตรเลี่ยม</t>
  </si>
  <si>
    <t>ค่าธรรเนียมจดทะเบียนสิทธิและนิติกรรมที่ดิน</t>
  </si>
  <si>
    <t>เงินอุดหนุนเฉพาะกิจ</t>
  </si>
  <si>
    <t>ภาษีโรงเรือนและที่ดิน</t>
  </si>
  <si>
    <t>411001</t>
  </si>
  <si>
    <t>411002</t>
  </si>
  <si>
    <t>411003</t>
  </si>
  <si>
    <t>ค่าใบอนุญาตให้บุคคลใช้สถานที่ตัดแต่งผม</t>
  </si>
  <si>
    <t>ค่าธรรมเนียมตลาด</t>
  </si>
  <si>
    <t>เงินเดือน (ฝ่ายประจำ)</t>
  </si>
  <si>
    <t>ค่าใช่สอย</t>
  </si>
  <si>
    <t>โอนปิดบัญชีรายรับ ประจำปีงบประมาณ พ.ศ. 2559 เข้าบัญชีเงินสะสมร้อยละ 75 และ เข้าบัญชีเงินทุนสะรองสะสมร้อยละ 25</t>
  </si>
  <si>
    <t>โอนปิดบัญชีรายจ่ายต่าง ๆ ประจำปีงบประมาณ พ.ศ. 2559 เข้าบัญชีเงินสะสมร้อยละ 75 และ บัญชีเงินทุนสำรองสะสมร้อยละ 25</t>
  </si>
  <si>
    <t>เลขที่  121/2559</t>
  </si>
  <si>
    <t>เงินทุนสำรองสะสม</t>
  </si>
  <si>
    <t>เงินอุดหนุนทั่วไป(เพื่อสนับสนุนการกระจายอำนาจให้แก่ อปท.)</t>
  </si>
  <si>
    <t>เงินอุดหนุนทั่วไป(โครงการพัฒนาการจัดการศึกษาโดยใช้โรงเรียนเป็นฐาน)</t>
  </si>
  <si>
    <t>เงินอุดหนุนทั่วไประบุวัตถุประสงค์ - ค่าเช่าบ้านครู</t>
  </si>
  <si>
    <t>เงินอุดหนุนทั่วไประบุวัตถุประสงค์ - เงินเดือนบุคลากรถ่ายโอน</t>
  </si>
  <si>
    <t>เงินอุดหนุนทั่วไประบุวัตถุประสงค์ - สวัสดิการเกี่ยวกับการศึกษาบุตร</t>
  </si>
  <si>
    <t>เงินอุดหนุนทั่วไประบุวัตถุประสงค์ - เบี้ยยังชีพผู้สูงอายุ</t>
  </si>
  <si>
    <t>เงินอุดหนุนทั่วไประบุวัตถุประสงค์ - เบี้ยยังชีพผู้พิการ</t>
  </si>
  <si>
    <t>เงินอุดหนุนทั่วไประบุวัตถุประสงค์ - เงินสบทบกองทุนประกันสังคม</t>
  </si>
  <si>
    <t>เงินอุดหนุนทั่วไประบุวัตถุประสงค์ - เงินเดือนผู้ดูแลเด็ก</t>
  </si>
  <si>
    <t>เงินอุดหนุนทั่วไประบุวัตถุประสงค์ - โครงการป้องกันยาเสพติด</t>
  </si>
  <si>
    <t>เงินอุดหนุนทั่วไประบุวัตถุประสงค์ -เงินค่าจัดการเรียนการสอน</t>
  </si>
  <si>
    <t>เงินอุดหนุนทั่วไประบุวัตถุประสงค์ - เงินทุนการศึกษาสำหรับผู้ดูแลเด็ก</t>
  </si>
  <si>
    <t>ผู้อนุมัติ</t>
  </si>
  <si>
    <t>ผู้บันทึกบัญชี</t>
  </si>
  <si>
    <t>(นางสาวคนึงนิจ  เขตต์กลาง)</t>
  </si>
  <si>
    <t>นักวิชาการเงินและบัญชีชำนาญการ</t>
  </si>
  <si>
    <t xml:space="preserve">                   (นางสาวคนึงนิจ  เขตต์กลาง)</t>
  </si>
  <si>
    <t xml:space="preserve">       (ลงชื่อ)…...................................       </t>
  </si>
  <si>
    <t xml:space="preserve">       (ลงชื่อ)…...................................   </t>
  </si>
  <si>
    <t>ใบผ่านรายการบัญชีมาตรฐาน (3)</t>
  </si>
  <si>
    <t>ค่าใบอนุญาตประกอบกิจการเก็บขน สิ่งปฏิกูล</t>
  </si>
  <si>
    <t>ค่าธรรมเนียมใบอนุญาตการขายสุรา</t>
  </si>
  <si>
    <t>ค่าธรรมเนียมเก็บและขนมูลฝอย</t>
  </si>
  <si>
    <t>ค่าธรรมเนียมทะเบียนราษฎร์</t>
  </si>
  <si>
    <t>ค่าธรรมเนียมการจดทะเบียนพาณิชย์</t>
  </si>
  <si>
    <t>ค่าใบอนุญาตประกอบกิจการที่เป็นอันตรายต่อสุขภาพ</t>
  </si>
  <si>
    <t>ค่าใบอนุญาตจัดตั้งสถานที่จำหน่ายหรือสถานที่สะสมอาหารฯ</t>
  </si>
  <si>
    <t>ค่าใบอนุญาตเกี่ยวกับการโฒษณาโดยใช้เครื่องขยายเสียง</t>
  </si>
  <si>
    <t>ค่าเช่าตลาด</t>
  </si>
  <si>
    <t>ภาษีมูลค่าเพิ่ม ตาม พ.ร.บ</t>
  </si>
  <si>
    <t>ภาษีมุลค่าเพิ่ม  1 ใน 9(พรบ.จัดสรรรายได้)</t>
  </si>
  <si>
    <t>ค่าธรรมเนีจดทะเบียนสิทธิและนิติกรรมที่ดิน</t>
  </si>
  <si>
    <t xml:space="preserve"> (นางสุพรรณิการ์  กอบเขตกรรม) </t>
  </si>
  <si>
    <t xml:space="preserve">                 ตำแหน่ง       ผู้อำนวยการกองคลัง</t>
  </si>
  <si>
    <t>เงินอุดหนุนทั่วไป -ในการบำรุงหลักสูตรสถานศึกษา</t>
  </si>
  <si>
    <t>เงินอุดหนุนทั่วไป -ปัจจัยพื้นฐานสำหรับนักเรียนยากจน</t>
  </si>
  <si>
    <t>เงินอุดหนุนทั่วไป-ระบุวัตถุประสงค์ค่าจัดการเรียนการสอน(ศพด.)</t>
  </si>
  <si>
    <t>เงินอุดหนุนทั่วไป -อาหารเสริม(นม) เด็กปฐมวัย</t>
  </si>
  <si>
    <t>เงินอุดหนุนทั่วไป -อาหารเสริม(นม) ประถมศึกษา</t>
  </si>
  <si>
    <t>เงินอุดหนุนทั่วไป - อาหารกลางวัน (เด็กปฐมวัย)</t>
  </si>
  <si>
    <t>เงินอุดหนุนทั่วไป - อาหารกลางวัน (ประถมศึกษา)</t>
  </si>
  <si>
    <t>เงินอุดหนุนทั่วไป -เงินเดือนครูและค่าจ้างประจำ</t>
  </si>
  <si>
    <t xml:space="preserve">  (นางสาวคนึงนิจ           เขตตก์ลาง)</t>
  </si>
  <si>
    <t xml:space="preserve">  นักวิชาการเงินและบัญชีชำนาญการ</t>
  </si>
  <si>
    <t>v =-</t>
  </si>
  <si>
    <t>(เงินอุดหนุน)</t>
  </si>
  <si>
    <t xml:space="preserve">    วันที่  30 เดือน พฤศจิกายน พ.ศ. 2559</t>
  </si>
  <si>
    <t xml:space="preserve">                                                           ผู้จัดทำ</t>
  </si>
  <si>
    <t xml:space="preserve">           (นางสาวคนึงนิจ           เขตตก์ลาง)</t>
  </si>
  <si>
    <t xml:space="preserve">             นักวิชาการเงินและบัญชีชำนาญการ</t>
  </si>
  <si>
    <t>ฏีกา.7/60   ลว.20/10/59</t>
  </si>
  <si>
    <t>ฏีกา.46/60   ลว.3/11/59</t>
  </si>
  <si>
    <t>ค่าปรับผู้กระทำผิดกฎหมายสาธารสุข(รวมใบอนุญาต)</t>
  </si>
  <si>
    <t xml:space="preserve"> เลขที่      /2560</t>
  </si>
  <si>
    <t>เงินอุดหนุนค่าเงินเดือนบุคลากรถ่ายโอน</t>
  </si>
  <si>
    <t>ค่าภาคหลวงปิโตรเลียม</t>
  </si>
  <si>
    <t>เงินฝากธนาคารออมสิน (05-2510-50983-0)</t>
  </si>
  <si>
    <t xml:space="preserve">ปรับปรุงบัญชีเงินฝากธนาคารกรุงไทย (270-5) เข้าบัญชีเงินฝากธนาคารออมสิน (983-0) </t>
  </si>
  <si>
    <t>โอนเงินเพื่อรอชำระเงินต้นให้กับสำนักงานกองทุนพัฒนาเมืองในภูมิภาค</t>
  </si>
  <si>
    <t>เลขที่               /2560</t>
  </si>
  <si>
    <t>ค่าใบอนุญาตให้บุคคลรับจ้างตัดแต่งผม</t>
  </si>
  <si>
    <t>รายได้เบ็ดเตล็ดอื่นๆ</t>
  </si>
  <si>
    <t>เลขที่            /2560</t>
  </si>
  <si>
    <t>เงินอุดหนุนทั่วไป - ระบุวัตถุประสงค์เงินค่าเช่าบ้าน</t>
  </si>
  <si>
    <t>เลขที่    /2560</t>
  </si>
  <si>
    <t>ฏีกา.174/60   ลว.02/12/59</t>
  </si>
  <si>
    <t>เงินเดือนครูและค่าจ้างประจำ</t>
  </si>
  <si>
    <t>(นางกุลสิริ เปรมกลาง)</t>
  </si>
  <si>
    <t>รองปลัดเทศบาล  รก.ผู้อำนวยการกองคลัง</t>
  </si>
  <si>
    <t>รองปลัดเทศบาล รก. ผู้อำนวยการกองคลัง</t>
  </si>
  <si>
    <t>รายรับ(ค่าปรับผิดสัญญาเงินสะสม)</t>
  </si>
  <si>
    <t>รองปลัดเทศบาล รก.ผู้อำนวยการกองคลัง</t>
  </si>
  <si>
    <t>งบกลาง(เงินอุดหนุน)</t>
  </si>
  <si>
    <t>ค่าปรับผิดสัญญาโครงการสูบบ่อบำบัดน้ำเสียเบิกจากเงินสะสม</t>
  </si>
  <si>
    <t>ปรับปรุงรายการบัญชีรายรับเข้าเงินสะสม</t>
  </si>
  <si>
    <t>ณ วันที่ 31  มกราคม  2560</t>
  </si>
  <si>
    <t>ฏีกา.293/60   ลว.11/01/60</t>
  </si>
  <si>
    <t>รายรับ  (ค่าปรับผิดสัญญาโครงการบ่อบำบัด)</t>
  </si>
  <si>
    <t>ดอกเบี้ยเงินฝากธนาคาร</t>
  </si>
  <si>
    <t>เงินอุดหนุนเฉพาะกิจ-สำหรับอุปกรณ์ห้องเรียน</t>
  </si>
  <si>
    <t>เงินอุดหนุนทั่วไป - คชจ.อินเตอร์เน็ตในโรงเรียน (ADSL)</t>
  </si>
  <si>
    <t>เงินอุดหนุนทั่วไป -คชจ.ในการพัฒนา/ปรับปรุง</t>
  </si>
  <si>
    <t>เงินอุดหนุนทั่วไป -คชจ.ในการพัฒนาแหล่งเรียนรู้ในโรงเรียน</t>
  </si>
  <si>
    <t>เงินอุดหนุนทั่วไป -คชจ.ในการปรับปรุง/ซ่อมแซมอาคารเรียนและอาคารปรกอบ</t>
  </si>
  <si>
    <t>เงินอุดหนุนทั่วไป-กิจกรรมพัฒนาคุณภาพการเรียน</t>
  </si>
  <si>
    <t>เงินอุดหนุนทั่วไป-ค่าอุปกรณ์การเรียน</t>
  </si>
  <si>
    <t xml:space="preserve">       รองปลัดเทศบล รก.ผู้อำนวยการกองคลัง</t>
  </si>
  <si>
    <t>รับคืนเงินเงินสะสม</t>
  </si>
  <si>
    <t xml:space="preserve">      ตำแหน่ง  รองปลัดเทศบาล รก. อำนวยการกองคลัง</t>
  </si>
  <si>
    <t>ฏีกา.413/60   ลว.09/02/60</t>
  </si>
  <si>
    <t xml:space="preserve">    วันที่  31 เดือน มกราคม พ.ศ. 2560</t>
  </si>
  <si>
    <t>เลขที่      /2560</t>
  </si>
  <si>
    <t>อาหารเสริม (นม) ศพด.</t>
  </si>
  <si>
    <t>อาหารกลางวัน ศพด</t>
  </si>
  <si>
    <t>ค่าตอบแทนครูผู้ดูแลเด็ก</t>
  </si>
  <si>
    <t>เงินประกันสังคมครูผู้ดูแลเด็ก</t>
  </si>
  <si>
    <t>ค่าอุปกรณ์การเรียน</t>
  </si>
  <si>
    <t>เบี้ยยังชีพคนพิการ</t>
  </si>
  <si>
    <t>เงินอุดหนุนทั่วไป-สำหรับการจัดการศึกษาภาคบังคับ (ค่าเช่าบ้าน) ครั้งที่ 2</t>
  </si>
  <si>
    <t>216000</t>
  </si>
  <si>
    <t>เงินรับฝาก -ค่าตอบแทนสหกรณ์ออมทรัพย์พนักงานเทศบาล จำกัด</t>
  </si>
  <si>
    <t>เบิกเกินส่งคืน - งบกลาง</t>
  </si>
  <si>
    <t>เงินรับฝาก -เงินปันผลสหกรณ์ออมทรัพย์เทศบาล จำกัด</t>
  </si>
  <si>
    <t>เบิก01/03/1959</t>
  </si>
  <si>
    <t>20 ก.พ.60</t>
  </si>
  <si>
    <t>10072827</t>
  </si>
  <si>
    <t>ฏีกา.489/60   ลว.02/03/60</t>
  </si>
  <si>
    <t xml:space="preserve">                        (นางกุลสิริ  เปรมกลาง)</t>
  </si>
  <si>
    <t>ฏีกา.532/60   ลว.16/03/60</t>
  </si>
  <si>
    <t>รายได้รอการรับรู้</t>
  </si>
  <si>
    <t>ใบอนุญาตจำหน่ายยาสูบ</t>
  </si>
  <si>
    <t>เบิกเกินส่งคืน - ลูกหนี้เงินยืม(เบี้ยยังชีพ)</t>
  </si>
  <si>
    <t xml:space="preserve">    วันที่  31  เดือน มีนาคม พ.ศ. 2560</t>
  </si>
  <si>
    <t>เงินรับฝากเงินประกันสังคม</t>
  </si>
  <si>
    <t>ค่าจ้างชั่วคราว</t>
  </si>
  <si>
    <t>ปรับปรุงบัญชีเงินรับฝากเงินประกันสังคมเข้าบัญชีค่าจ้างชั่วคราวเนื่องจากลูกจ้างลาออก</t>
  </si>
  <si>
    <t>จึงรับเงินเข้าหมวดคืน</t>
  </si>
  <si>
    <t xml:space="preserve"> ตำแหน่ง  รองปลัดเทศบาล รก.   ผู้อำนวยการกองคลัง</t>
  </si>
  <si>
    <t xml:space="preserve">                       (นางกุลสิริ  เปรมกลาง)</t>
  </si>
  <si>
    <t>ค่าธรรมเนียมนิติกรรมฯ</t>
  </si>
  <si>
    <t>ค่าธรรมเนียมจดทะเบียนสิทธิ์และนิติกรรมฯ พ.ย.59</t>
  </si>
  <si>
    <t>ค่าภาคหลวงปิโตรเลี่ยม 1/60</t>
  </si>
  <si>
    <t>เดือนมกราคม 60</t>
  </si>
  <si>
    <t>เดือนกุมภาพันธ์ 60</t>
  </si>
  <si>
    <t>ค่าธรรมเนียมจดทะเบียนสิทธิ์และนิติกรรมฯ ธ.ค.59</t>
  </si>
  <si>
    <t>ค่าใบอนุญาตขายสุรา ธ.ค.59</t>
  </si>
  <si>
    <t>ค่าภาคหลวงแร่ 4/2559</t>
  </si>
  <si>
    <t>ภาษีมูลค่าเพิ่มตาม พรบ.กำหนดแผนและขั้นตอนการกระจายอำนาจฯ ต.ค.59</t>
  </si>
  <si>
    <t>เดือนมีนาคม 60</t>
  </si>
  <si>
    <t>ภาษีมูลค่าเพิ่มตาม พรบ.กำหนดแผนและขั้นตอนการกระจายอำนาจฯ พ.ย.59</t>
  </si>
  <si>
    <t>เงินอุดหนุนทั่วไป-สำหรับการจัดการศึกษาภาคบังคับ (เงินเดือนและค่าจ้างประจำ)</t>
  </si>
  <si>
    <t>เบี้ยยังชีพผู้สูงอายุ ไตรมาสที่ 3 (เม.ย.-มิ.ย.60)</t>
  </si>
  <si>
    <t>เบี้ยยังชีพคนพิการ ไตรมาสที่ 3 (เม.ย.-มิ.ย.60)</t>
  </si>
  <si>
    <t>ภาษี 1/9</t>
  </si>
  <si>
    <t>ใบที่ 2</t>
  </si>
  <si>
    <t>ค่าจัดการเรียนการสอน</t>
  </si>
  <si>
    <t>ค่ากิจกรรมพัฒนาคุณภาพการเรียน</t>
  </si>
  <si>
    <t>ค่าอาหารเสริม (นม) ปฐมวัย</t>
  </si>
  <si>
    <t>ค่าอาหารกลางวันเด็กปฐมวัย</t>
  </si>
  <si>
    <t>ค่าอาหารเสริม (นม) ประถมศึกษา</t>
  </si>
  <si>
    <t>ค่าอาหารกลางวันประถมศึกษา</t>
  </si>
  <si>
    <t>ส่งเสริมศักยภาพการศึกษา</t>
  </si>
  <si>
    <t>ค่าเครื่องแบบนักเรียน</t>
  </si>
  <si>
    <t>ค่าหนังสือเรียน</t>
  </si>
  <si>
    <t>16 พฤษภาคม 60</t>
  </si>
  <si>
    <t>10073053</t>
  </si>
  <si>
    <t>ภาษีมูลค่าเพิ่มตาม พรบ.กำหนดแผนและขั้นตอนกระจายอำนาจฯ</t>
  </si>
  <si>
    <t>เบิกเกินส่งคืน - ค่าใช้จ่ายโครงการประเพณีงานสงกรานต์</t>
  </si>
  <si>
    <t>เบิกเกินส่งคืน -สาธารณูปโภค</t>
  </si>
  <si>
    <t>รับคืนค่าสาธารณูปโภค (เบิกเกินส่งคืน)</t>
  </si>
  <si>
    <t>ยอดคงเหลือตามรายงานธนาคาร   ณ  วันที่  31   พฤษภาคม  2560</t>
  </si>
  <si>
    <t>31 พฤษภาคม 60</t>
  </si>
  <si>
    <t>10073101</t>
  </si>
  <si>
    <t>25 พฤษภาคม 60</t>
  </si>
  <si>
    <t>10073073</t>
  </si>
  <si>
    <t>26 พฤษภาคม 60</t>
  </si>
  <si>
    <t>10073080</t>
  </si>
  <si>
    <t>29 พฤษภาคม 60</t>
  </si>
  <si>
    <t>10073089</t>
  </si>
  <si>
    <t>10073090</t>
  </si>
  <si>
    <t>ยอดเงินคงเหลือตามบัญชี ณ   วันที่  วันที่ 31  พฤษภาคม   2560</t>
  </si>
  <si>
    <t>10073097</t>
  </si>
  <si>
    <t>10073099</t>
  </si>
  <si>
    <t>10073100</t>
  </si>
  <si>
    <t xml:space="preserve">    วันที่    เดือน มิถุนายน  พ.ศ. 2560</t>
  </si>
  <si>
    <t>ค่าธรรมเนียมจดทะเบียนสิทธิ์และนิติกรรมฯ ก.พ.60</t>
  </si>
  <si>
    <t>ภาษีมูลค่าเพิ่ม 1/9</t>
  </si>
  <si>
    <t xml:space="preserve">เงินภาษีและค่าธรรมเนียมรถยนต์ </t>
  </si>
  <si>
    <t>ค่าภาคหลวงปิโตรเลี่ยม 2/2560</t>
  </si>
  <si>
    <t xml:space="preserve">งวดเดือน ม.ค.60 GFMIS </t>
  </si>
  <si>
    <t>ใบอนุญาตจำหน่ายสุรา</t>
  </si>
  <si>
    <t>ค่าภาคหลวงแร่ 1/2560</t>
  </si>
  <si>
    <t>ส่งใช้เงินยืมงบประมาณ จำนวน 7  ฏีกา</t>
  </si>
  <si>
    <t>ส่งใช้เงินยืมงบประมาณของนางสาวอานุวัน  พิมพิชัย</t>
  </si>
  <si>
    <t>ส่งใช้เงินยืมงบประมาณของนายปฎิญญา   คงแสนคำ</t>
  </si>
  <si>
    <t>ส่งใช้เงินยืมงบประมาณของนางอังคนา  พริ้งกลาง</t>
  </si>
  <si>
    <t>ส่งใช้เงินยืมงบประมาณของนางเครือวัลย์  วรชมพู</t>
  </si>
  <si>
    <t>ส่งใช้เงินยืมงบประมาณของนางสุพิศ  กระทุ่มกลาง</t>
  </si>
  <si>
    <t>ส่งใช้เงินยืมงบประมาณของนายธันย์ธนัช  แสงจันทร์</t>
  </si>
  <si>
    <t>ส่งใช้เงินยืมงบประมาณของนางพุทธชาติ  เหล่าปิ่นรัตนา</t>
  </si>
  <si>
    <t>กระดาษทำการ  เทศบาลตำบลตลาดแค   ประจำเดือนมิถุนายน  2560</t>
  </si>
  <si>
    <t>ปีงบประมาณ 2560 ประจำเดือน มิถุนายน  2560</t>
  </si>
  <si>
    <t>ณ  วันที่  30  มิถุนายน 2560</t>
  </si>
  <si>
    <t>วันที่  30    เดือน มิถุนายน  พ.ศ. 2560</t>
  </si>
  <si>
    <r>
      <rPr>
        <b/>
        <u val="single"/>
        <sz val="16"/>
        <rFont val="TH SarabunPSK"/>
        <family val="2"/>
      </rPr>
      <t xml:space="preserve">คำอธิบาย </t>
    </r>
    <r>
      <rPr>
        <sz val="16"/>
        <rFont val="TH SarabunPSK"/>
        <family val="2"/>
      </rPr>
      <t xml:space="preserve"> เพื่อบันทึก รายการจากสมุดเงินสดจ่ายไปยังบัญชีแยกประเภทที่เกี่ยวข้องประจำเดือนมิถุนายน 2560</t>
    </r>
  </si>
  <si>
    <t>วันที่  30   เดือน  มิถุนายน  พ.ศ. 2560</t>
  </si>
  <si>
    <t>เงินรับฝาก-ค่าดำเนินค่าปรับสภาพแวดล้อมที่อยู่อาศัยสำหรับผู้พิการ-สูงอายุฯ</t>
  </si>
  <si>
    <r>
      <rPr>
        <b/>
        <u val="single"/>
        <sz val="16"/>
        <rFont val="TH SarabunPSK"/>
        <family val="2"/>
      </rPr>
      <t xml:space="preserve">คำอธิบาย </t>
    </r>
    <r>
      <rPr>
        <sz val="16"/>
        <rFont val="TH SarabunPSK"/>
        <family val="2"/>
      </rPr>
      <t xml:space="preserve"> เพื่อบันทึก รายการจากสมุดเงินสดรับไปยังบัญชีแยกประเภทที่เกี่ยวข้องประจำเดือนมิถุนายน  2560</t>
    </r>
  </si>
  <si>
    <t xml:space="preserve">    วันที่  30  เดือน มิถุนายน  พ.ศ. 2560</t>
  </si>
  <si>
    <t>ส่งใช้เงินยืมงบประมาณตามฎีกา</t>
  </si>
  <si>
    <t>ส่งใช้เงินยืมฎีกาที่ 913/60 เพื่อจ่ายเบี้ยยังชีพผู้สูงอายุ</t>
  </si>
  <si>
    <t>ส่งใช้เงินยืมฎีกาที่ 914/60 เพื่อจ่ายเบี้ยยังชีพคนพิการ</t>
  </si>
  <si>
    <t>ส่งใช้เงินยืมฎีกาที่ 915/60 เพื่อจ่ายค่าลงทะเบียนอบรมฯ</t>
  </si>
  <si>
    <t>เพียงวันที่ 30  มิถุนายน  2560</t>
  </si>
  <si>
    <t xml:space="preserve">      (นางกุลสิริ  เปรมกลาง)                           ( สกล  พละเสน )                          ( นายชัยรัตน์  กิตติหิรัญวัฒน์)</t>
  </si>
  <si>
    <t xml:space="preserve"> .......................................................       ว่าที่ ร.อ. ……………………………………                   ……………………………………………..</t>
  </si>
  <si>
    <r>
      <rPr>
        <sz val="14"/>
        <rFont val="TH SarabunPSK"/>
        <family val="2"/>
      </rPr>
      <t xml:space="preserve">รองปลัดเทศบาล รก.ผู้อำนวยการกองคลัง               </t>
    </r>
    <r>
      <rPr>
        <sz val="16"/>
        <rFont val="TH SarabunPSK"/>
        <family val="2"/>
      </rPr>
      <t>ปลัดเทศบาลตำบลตลาดแค                   นายกเทศมนตรีตำบลตลาดแค</t>
    </r>
  </si>
  <si>
    <t>ว่าที่ ร.อ. ..........................................</t>
  </si>
  <si>
    <t>(สกล  พละเสน)</t>
  </si>
  <si>
    <t>ปลัดเทศบาลตำบลตลาดแค</t>
  </si>
  <si>
    <t>ยอดคงเหลือตามรายงานธนาคาร   ณ  วันที่  30   มิถุนายน  2560</t>
  </si>
  <si>
    <t>ยอดเงินคงเหลือตามบัญชี ณ   วันที่  วันที่ 30  มิถุนายน   2560</t>
  </si>
  <si>
    <t>ยอดคงเหลือตามรายงานธนาคาร   ณ  วันที่  30   มิถุนายน 2560</t>
  </si>
  <si>
    <t>ยอดเงินคงเหลือตามบัญชี  ณ  วันที่  30   มิถุนายน  2560</t>
  </si>
  <si>
    <t>26 มิถุนายน 60</t>
  </si>
  <si>
    <t>10073153</t>
  </si>
  <si>
    <t>23 มิถุนายน 60</t>
  </si>
  <si>
    <t>10073144</t>
  </si>
  <si>
    <t>10073155</t>
  </si>
  <si>
    <t>10073158</t>
  </si>
  <si>
    <t>10073162</t>
  </si>
  <si>
    <t>10073163</t>
  </si>
  <si>
    <t>10073165</t>
  </si>
  <si>
    <t>10073171</t>
  </si>
  <si>
    <t>27 มิถุนายน 60</t>
  </si>
  <si>
    <t>ดอกเบี้ยเงินฝากธนาคารฯ</t>
  </si>
  <si>
    <t>ณ วันที่   30  มิถุนายน  2560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</si>
</sst>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#,##0.00;[Red]#,##0.00"/>
    <numFmt numFmtId="190" formatCode="#,##0;[Red]#,##0"/>
    <numFmt numFmtId="191" formatCode="#,##0.00_ ;[Red]\-#,##0.00\ "/>
    <numFmt numFmtId="192" formatCode="[$-107041E]d\ mmm\ yy;@"/>
    <numFmt numFmtId="193" formatCode="&quot;฿&quot;#,##0.00"/>
    <numFmt numFmtId="194" formatCode="#,##0.00_ ;\-#,##0.00\ "/>
    <numFmt numFmtId="195" formatCode="0.000"/>
    <numFmt numFmtId="196" formatCode="_-* #,##0.000_-;\-* #,##0.000_-;_-* &quot;-&quot;??_-;_-@_-"/>
    <numFmt numFmtId="197" formatCode="#,##0.000_ ;\-#,##0.000\ "/>
    <numFmt numFmtId="198" formatCode="_-* #,##0.0000_-;\-* #,##0.0000_-;_-* &quot;-&quot;??_-;_-@_-"/>
    <numFmt numFmtId="199" formatCode="_-* #,##0.00000_-;\-* #,##0.00000_-;_-* &quot;-&quot;??_-;_-@_-"/>
    <numFmt numFmtId="200" formatCode="_-* #,##0.000000_-;\-* #,##0.000000_-;_-* &quot;-&quot;??_-;_-@_-"/>
    <numFmt numFmtId="201" formatCode="_-* #,##0.0000000_-;\-* #,##0.0000000_-;_-* &quot;-&quot;??_-;_-@_-"/>
    <numFmt numFmtId="202" formatCode="_-* #,##0.00000000_-;\-* #,##0.00000000_-;_-* &quot;-&quot;??_-;_-@_-"/>
    <numFmt numFmtId="203" formatCode="_-* #,##0.000000000_-;\-* #,##0.000000000_-;_-* &quot;-&quot;??_-;_-@_-"/>
    <numFmt numFmtId="204" formatCode="_-* #,##0.0_-;\-* #,##0.0_-;_-* &quot;-&quot;??_-;_-@_-"/>
  </numFmts>
  <fonts count="88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4"/>
      <color indexed="12"/>
      <name val="TH SarabunPSK"/>
      <family val="2"/>
    </font>
    <font>
      <sz val="11"/>
      <name val="TH SarabunPSK"/>
      <family val="2"/>
    </font>
    <font>
      <b/>
      <u val="single"/>
      <sz val="16"/>
      <name val="TH SarabunPSK"/>
      <family val="2"/>
    </font>
    <font>
      <sz val="16"/>
      <color indexed="12"/>
      <name val="TH SarabunPSK"/>
      <family val="2"/>
    </font>
    <font>
      <sz val="16"/>
      <color indexed="16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16"/>
      <color indexed="17"/>
      <name val="TH SarabunPSK"/>
      <family val="2"/>
    </font>
    <font>
      <sz val="8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10"/>
      <name val="TH SarabunPSK"/>
      <family val="2"/>
    </font>
    <font>
      <u val="single"/>
      <sz val="16"/>
      <name val="TH SarabunPSK"/>
      <family val="2"/>
    </font>
    <font>
      <sz val="16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sz val="15"/>
      <name val="AngsanaUPC"/>
      <family val="1"/>
    </font>
    <font>
      <sz val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3"/>
      <color indexed="8"/>
      <name val="TH SarabunPSK"/>
      <family val="2"/>
    </font>
    <font>
      <sz val="13"/>
      <color indexed="10"/>
      <name val="TH SarabunPSK"/>
      <family val="2"/>
    </font>
    <font>
      <b/>
      <sz val="13"/>
      <color indexed="8"/>
      <name val="TH SarabunPSK"/>
      <family val="2"/>
    </font>
    <font>
      <sz val="20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20"/>
      <color indexed="48"/>
      <name val="TH SarabunPSK"/>
      <family val="2"/>
    </font>
    <font>
      <sz val="18"/>
      <color indexed="8"/>
      <name val="TH SarabunPSK"/>
      <family val="2"/>
    </font>
    <font>
      <b/>
      <u val="single"/>
      <sz val="18"/>
      <color indexed="14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theme="1"/>
      <name val="TH SarabunPSK"/>
      <family val="2"/>
    </font>
    <font>
      <sz val="20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20"/>
      <color rgb="FF3333FF"/>
      <name val="TH SarabunPSK"/>
      <family val="2"/>
    </font>
    <font>
      <sz val="18"/>
      <color theme="1"/>
      <name val="TH SarabunPSK"/>
      <family val="2"/>
    </font>
    <font>
      <b/>
      <u val="single"/>
      <sz val="18"/>
      <color rgb="FFFF00FF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34"/>
        <bgColor indexed="42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 style="medium"/>
      <top style="medium"/>
      <bottom style="hair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/>
    </border>
    <border>
      <left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medium"/>
      <top style="thin"/>
      <bottom style="double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hair"/>
      <bottom>
        <color indexed="63"/>
      </bottom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medium"/>
      <top style="thin"/>
      <bottom/>
    </border>
    <border>
      <left style="thin"/>
      <right style="medium"/>
      <top style="thick"/>
      <bottom style="thick"/>
    </border>
    <border>
      <left style="medium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89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3" fontId="3" fillId="0" borderId="0" xfId="36" applyFont="1" applyAlignment="1">
      <alignment vertical="center"/>
    </xf>
    <xf numFmtId="0" fontId="76" fillId="0" borderId="0" xfId="0" applyFont="1" applyAlignment="1">
      <alignment/>
    </xf>
    <xf numFmtId="43" fontId="5" fillId="0" borderId="0" xfId="36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/>
    </xf>
    <xf numFmtId="43" fontId="6" fillId="33" borderId="10" xfId="36" applyFont="1" applyFill="1" applyBorder="1" applyAlignment="1">
      <alignment horizontal="center" vertical="center"/>
    </xf>
    <xf numFmtId="43" fontId="6" fillId="33" borderId="11" xfId="36" applyFont="1" applyFill="1" applyBorder="1" applyAlignment="1">
      <alignment horizontal="center" vertical="center"/>
    </xf>
    <xf numFmtId="43" fontId="8" fillId="0" borderId="10" xfId="36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36" applyFont="1" applyAlignment="1">
      <alignment vertical="center"/>
    </xf>
    <xf numFmtId="188" fontId="6" fillId="0" borderId="11" xfId="36" applyNumberFormat="1" applyFont="1" applyBorder="1" applyAlignment="1">
      <alignment horizontal="center" vertical="center"/>
    </xf>
    <xf numFmtId="43" fontId="6" fillId="0" borderId="11" xfId="36" applyFont="1" applyBorder="1" applyAlignment="1">
      <alignment horizontal="center" vertical="center"/>
    </xf>
    <xf numFmtId="188" fontId="6" fillId="0" borderId="10" xfId="36" applyNumberFormat="1" applyFont="1" applyBorder="1" applyAlignment="1">
      <alignment horizontal="center" vertical="center"/>
    </xf>
    <xf numFmtId="43" fontId="6" fillId="0" borderId="10" xfId="36" applyFont="1" applyBorder="1" applyAlignment="1">
      <alignment horizontal="center" vertical="center"/>
    </xf>
    <xf numFmtId="188" fontId="5" fillId="0" borderId="11" xfId="36" applyNumberFormat="1" applyFont="1" applyBorder="1" applyAlignment="1">
      <alignment vertical="center"/>
    </xf>
    <xf numFmtId="43" fontId="5" fillId="0" borderId="11" xfId="36" applyFont="1" applyBorder="1" applyAlignment="1">
      <alignment vertical="center"/>
    </xf>
    <xf numFmtId="43" fontId="6" fillId="0" borderId="11" xfId="36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3" fontId="6" fillId="33" borderId="13" xfId="36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189" fontId="5" fillId="0" borderId="11" xfId="36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3" fontId="5" fillId="0" borderId="11" xfId="36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5" fillId="33" borderId="12" xfId="36" applyFont="1" applyFill="1" applyBorder="1" applyAlignment="1">
      <alignment vertical="center"/>
    </xf>
    <xf numFmtId="43" fontId="5" fillId="0" borderId="11" xfId="36" applyFont="1" applyBorder="1" applyAlignment="1">
      <alignment horizontal="right" vertical="center"/>
    </xf>
    <xf numFmtId="189" fontId="6" fillId="0" borderId="11" xfId="36" applyNumberFormat="1" applyFont="1" applyBorder="1" applyAlignment="1">
      <alignment vertical="center"/>
    </xf>
    <xf numFmtId="43" fontId="6" fillId="0" borderId="11" xfId="36" applyFont="1" applyBorder="1" applyAlignment="1">
      <alignment horizontal="right" vertical="center"/>
    </xf>
    <xf numFmtId="43" fontId="5" fillId="33" borderId="11" xfId="36" applyFont="1" applyFill="1" applyBorder="1" applyAlignment="1">
      <alignment vertical="center"/>
    </xf>
    <xf numFmtId="43" fontId="5" fillId="0" borderId="11" xfId="36" applyFont="1" applyBorder="1" applyAlignment="1">
      <alignment horizontal="left" vertical="center"/>
    </xf>
    <xf numFmtId="189" fontId="5" fillId="0" borderId="0" xfId="0" applyNumberFormat="1" applyFont="1" applyBorder="1" applyAlignment="1">
      <alignment vertical="center"/>
    </xf>
    <xf numFmtId="43" fontId="5" fillId="0" borderId="0" xfId="36" applyFont="1" applyBorder="1" applyAlignment="1">
      <alignment vertical="center"/>
    </xf>
    <xf numFmtId="189" fontId="5" fillId="0" borderId="0" xfId="36" applyNumberFormat="1" applyFont="1" applyBorder="1" applyAlignment="1">
      <alignment vertical="center"/>
    </xf>
    <xf numFmtId="43" fontId="5" fillId="0" borderId="14" xfId="36" applyFont="1" applyBorder="1" applyAlignment="1">
      <alignment vertical="center"/>
    </xf>
    <xf numFmtId="43" fontId="5" fillId="33" borderId="15" xfId="36" applyFont="1" applyFill="1" applyBorder="1" applyAlignment="1">
      <alignment vertical="center"/>
    </xf>
    <xf numFmtId="43" fontId="6" fillId="0" borderId="16" xfId="36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3" fontId="5" fillId="33" borderId="0" xfId="36" applyFont="1" applyFill="1" applyAlignment="1">
      <alignment vertical="center"/>
    </xf>
    <xf numFmtId="43" fontId="5" fillId="0" borderId="0" xfId="0" applyNumberFormat="1" applyFont="1" applyBorder="1" applyAlignment="1">
      <alignment vertical="center"/>
    </xf>
    <xf numFmtId="189" fontId="5" fillId="0" borderId="12" xfId="0" applyNumberFormat="1" applyFont="1" applyBorder="1" applyAlignment="1">
      <alignment vertical="center"/>
    </xf>
    <xf numFmtId="43" fontId="5" fillId="0" borderId="14" xfId="36" applyFont="1" applyBorder="1" applyAlignment="1">
      <alignment horizontal="right" vertical="center"/>
    </xf>
    <xf numFmtId="43" fontId="5" fillId="33" borderId="12" xfId="36" applyNumberFormat="1" applyFont="1" applyFill="1" applyBorder="1" applyAlignment="1">
      <alignment horizontal="right" vertical="center"/>
    </xf>
    <xf numFmtId="189" fontId="5" fillId="0" borderId="11" xfId="36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 quotePrefix="1">
      <alignment horizontal="center" vertical="center"/>
    </xf>
    <xf numFmtId="189" fontId="6" fillId="0" borderId="0" xfId="0" applyNumberFormat="1" applyFont="1" applyBorder="1" applyAlignment="1">
      <alignment horizontal="center" vertical="center"/>
    </xf>
    <xf numFmtId="43" fontId="6" fillId="33" borderId="16" xfId="36" applyFont="1" applyFill="1" applyBorder="1" applyAlignment="1">
      <alignment vertical="center"/>
    </xf>
    <xf numFmtId="43" fontId="5" fillId="0" borderId="17" xfId="36" applyFont="1" applyBorder="1" applyAlignment="1">
      <alignment vertical="center"/>
    </xf>
    <xf numFmtId="43" fontId="5" fillId="0" borderId="17" xfId="0" applyNumberFormat="1" applyFont="1" applyBorder="1" applyAlignment="1">
      <alignment vertical="center"/>
    </xf>
    <xf numFmtId="43" fontId="78" fillId="0" borderId="0" xfId="36" applyFont="1" applyAlignment="1">
      <alignment vertical="center"/>
    </xf>
    <xf numFmtId="191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6" fillId="33" borderId="11" xfId="36" applyFont="1" applyFill="1" applyBorder="1" applyAlignment="1">
      <alignment vertical="center"/>
    </xf>
    <xf numFmtId="43" fontId="79" fillId="0" borderId="11" xfId="36" applyFont="1" applyFill="1" applyBorder="1" applyAlignment="1">
      <alignment vertical="center"/>
    </xf>
    <xf numFmtId="189" fontId="6" fillId="0" borderId="12" xfId="0" applyNumberFormat="1" applyFont="1" applyBorder="1" applyAlignment="1">
      <alignment horizontal="center" vertical="center"/>
    </xf>
    <xf numFmtId="189" fontId="6" fillId="0" borderId="14" xfId="0" applyNumberFormat="1" applyFont="1" applyBorder="1" applyAlignment="1">
      <alignment horizontal="center" vertical="center"/>
    </xf>
    <xf numFmtId="43" fontId="6" fillId="33" borderId="10" xfId="36" applyFont="1" applyFill="1" applyBorder="1" applyAlignment="1">
      <alignment horizontal="right" vertical="center"/>
    </xf>
    <xf numFmtId="43" fontId="5" fillId="0" borderId="15" xfId="36" applyFont="1" applyBorder="1" applyAlignment="1">
      <alignment vertical="center"/>
    </xf>
    <xf numFmtId="189" fontId="5" fillId="0" borderId="18" xfId="0" applyNumberFormat="1" applyFont="1" applyBorder="1" applyAlignment="1">
      <alignment vertical="center"/>
    </xf>
    <xf numFmtId="189" fontId="6" fillId="0" borderId="19" xfId="0" applyNumberFormat="1" applyFont="1" applyBorder="1" applyAlignment="1">
      <alignment vertical="center"/>
    </xf>
    <xf numFmtId="43" fontId="6" fillId="0" borderId="20" xfId="36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188" fontId="6" fillId="0" borderId="13" xfId="36" applyNumberFormat="1" applyFont="1" applyBorder="1" applyAlignment="1">
      <alignment horizontal="center" vertical="center"/>
    </xf>
    <xf numFmtId="189" fontId="5" fillId="0" borderId="15" xfId="36" applyNumberFormat="1" applyFont="1" applyBorder="1" applyAlignment="1">
      <alignment vertical="center"/>
    </xf>
    <xf numFmtId="189" fontId="5" fillId="0" borderId="21" xfId="36" applyNumberFormat="1" applyFont="1" applyBorder="1" applyAlignment="1">
      <alignment vertical="center"/>
    </xf>
    <xf numFmtId="43" fontId="5" fillId="0" borderId="21" xfId="36" applyFont="1" applyBorder="1" applyAlignment="1">
      <alignment vertical="center"/>
    </xf>
    <xf numFmtId="43" fontId="79" fillId="0" borderId="13" xfId="36" applyFont="1" applyFill="1" applyBorder="1" applyAlignment="1">
      <alignment vertical="center"/>
    </xf>
    <xf numFmtId="43" fontId="79" fillId="0" borderId="11" xfId="36" applyFont="1" applyBorder="1" applyAlignment="1">
      <alignment vertical="center"/>
    </xf>
    <xf numFmtId="43" fontId="79" fillId="0" borderId="11" xfId="36" applyFont="1" applyBorder="1" applyAlignment="1">
      <alignment horizontal="right" vertical="center"/>
    </xf>
    <xf numFmtId="43" fontId="6" fillId="0" borderId="15" xfId="36" applyFont="1" applyBorder="1" applyAlignment="1">
      <alignment horizontal="right" vertical="center"/>
    </xf>
    <xf numFmtId="189" fontId="6" fillId="0" borderId="12" xfId="0" applyNumberFormat="1" applyFont="1" applyBorder="1" applyAlignment="1">
      <alignment vertical="center"/>
    </xf>
    <xf numFmtId="188" fontId="5" fillId="0" borderId="13" xfId="36" applyNumberFormat="1" applyFont="1" applyBorder="1" applyAlignment="1">
      <alignment vertical="center"/>
    </xf>
    <xf numFmtId="43" fontId="8" fillId="0" borderId="11" xfId="36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shrinkToFit="1"/>
    </xf>
    <xf numFmtId="188" fontId="7" fillId="0" borderId="0" xfId="36" applyNumberFormat="1" applyFont="1" applyFill="1" applyBorder="1" applyAlignment="1">
      <alignment/>
    </xf>
    <xf numFmtId="188" fontId="7" fillId="34" borderId="0" xfId="36" applyNumberFormat="1" applyFont="1" applyFill="1" applyBorder="1" applyAlignment="1">
      <alignment/>
    </xf>
    <xf numFmtId="43" fontId="7" fillId="34" borderId="0" xfId="36" applyFont="1" applyFill="1" applyAlignment="1">
      <alignment/>
    </xf>
    <xf numFmtId="43" fontId="7" fillId="34" borderId="0" xfId="36" applyFont="1" applyFill="1" applyAlignment="1">
      <alignment horizontal="right"/>
    </xf>
    <xf numFmtId="43" fontId="4" fillId="34" borderId="0" xfId="36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9" fontId="4" fillId="34" borderId="15" xfId="36" applyNumberFormat="1" applyFont="1" applyFill="1" applyBorder="1" applyAlignment="1">
      <alignment horizontal="center"/>
    </xf>
    <xf numFmtId="43" fontId="4" fillId="0" borderId="15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shrinkToFit="1"/>
    </xf>
    <xf numFmtId="43" fontId="4" fillId="0" borderId="11" xfId="36" applyFont="1" applyFill="1" applyBorder="1" applyAlignment="1">
      <alignment horizontal="center" shrinkToFit="1"/>
    </xf>
    <xf numFmtId="43" fontId="3" fillId="0" borderId="11" xfId="36" applyFont="1" applyFill="1" applyBorder="1" applyAlignment="1">
      <alignment horizontal="center" shrinkToFit="1"/>
    </xf>
    <xf numFmtId="43" fontId="4" fillId="0" borderId="11" xfId="36" applyFont="1" applyFill="1" applyBorder="1" applyAlignment="1">
      <alignment horizontal="center"/>
    </xf>
    <xf numFmtId="43" fontId="3" fillId="0" borderId="11" xfId="36" applyFont="1" applyFill="1" applyBorder="1" applyAlignment="1">
      <alignment horizontal="center"/>
    </xf>
    <xf numFmtId="43" fontId="3" fillId="34" borderId="22" xfId="36" applyNumberFormat="1" applyFont="1" applyFill="1" applyBorder="1" applyAlignment="1">
      <alignment horizontal="center"/>
    </xf>
    <xf numFmtId="0" fontId="80" fillId="0" borderId="23" xfId="0" applyFont="1" applyFill="1" applyBorder="1" applyAlignment="1">
      <alignment horizontal="center" shrinkToFit="1"/>
    </xf>
    <xf numFmtId="0" fontId="81" fillId="0" borderId="23" xfId="0" applyFont="1" applyFill="1" applyBorder="1" applyAlignment="1">
      <alignment horizontal="left" shrinkToFit="1"/>
    </xf>
    <xf numFmtId="43" fontId="82" fillId="0" borderId="23" xfId="36" applyFont="1" applyFill="1" applyBorder="1" applyAlignment="1">
      <alignment horizontal="left" shrinkToFit="1"/>
    </xf>
    <xf numFmtId="43" fontId="3" fillId="0" borderId="23" xfId="36" applyFont="1" applyFill="1" applyBorder="1" applyAlignment="1">
      <alignment horizontal="center"/>
    </xf>
    <xf numFmtId="43" fontId="4" fillId="0" borderId="23" xfId="36" applyFont="1" applyFill="1" applyBorder="1" applyAlignment="1">
      <alignment horizontal="center"/>
    </xf>
    <xf numFmtId="43" fontId="3" fillId="34" borderId="23" xfId="36" applyNumberFormat="1" applyFont="1" applyFill="1" applyBorder="1" applyAlignment="1">
      <alignment horizontal="center"/>
    </xf>
    <xf numFmtId="0" fontId="83" fillId="0" borderId="23" xfId="0" applyFont="1" applyFill="1" applyBorder="1" applyAlignment="1">
      <alignment horizontal="center" shrinkToFit="1"/>
    </xf>
    <xf numFmtId="43" fontId="84" fillId="0" borderId="23" xfId="36" applyFont="1" applyFill="1" applyBorder="1" applyAlignment="1">
      <alignment horizontal="left" shrinkToFit="1"/>
    </xf>
    <xf numFmtId="43" fontId="3" fillId="0" borderId="23" xfId="36" applyFont="1" applyFill="1" applyBorder="1" applyAlignment="1">
      <alignment shrinkToFit="1"/>
    </xf>
    <xf numFmtId="43" fontId="3" fillId="0" borderId="24" xfId="36" applyFont="1" applyFill="1" applyBorder="1" applyAlignment="1">
      <alignment shrinkToFit="1"/>
    </xf>
    <xf numFmtId="43" fontId="81" fillId="0" borderId="23" xfId="36" applyFont="1" applyFill="1" applyBorder="1" applyAlignment="1">
      <alignment horizontal="center"/>
    </xf>
    <xf numFmtId="43" fontId="3" fillId="34" borderId="23" xfId="36" applyFont="1" applyFill="1" applyBorder="1" applyAlignment="1">
      <alignment shrinkToFit="1"/>
    </xf>
    <xf numFmtId="0" fontId="81" fillId="0" borderId="23" xfId="0" applyFont="1" applyFill="1" applyBorder="1" applyAlignment="1">
      <alignment horizontal="center" vertical="center" shrinkToFit="1"/>
    </xf>
    <xf numFmtId="0" fontId="81" fillId="0" borderId="23" xfId="0" applyFont="1" applyFill="1" applyBorder="1" applyAlignment="1">
      <alignment horizontal="left" vertical="center" shrinkToFit="1"/>
    </xf>
    <xf numFmtId="43" fontId="3" fillId="0" borderId="23" xfId="36" applyFont="1" applyFill="1" applyBorder="1" applyAlignment="1">
      <alignment horizontal="left" vertical="center" shrinkToFit="1"/>
    </xf>
    <xf numFmtId="43" fontId="3" fillId="0" borderId="23" xfId="36" applyFont="1" applyFill="1" applyBorder="1" applyAlignment="1">
      <alignment vertical="center" shrinkToFit="1"/>
    </xf>
    <xf numFmtId="43" fontId="7" fillId="0" borderId="0" xfId="0" applyNumberFormat="1" applyFont="1" applyFill="1" applyAlignment="1">
      <alignment/>
    </xf>
    <xf numFmtId="0" fontId="85" fillId="0" borderId="16" xfId="0" applyFont="1" applyFill="1" applyBorder="1" applyAlignment="1">
      <alignment horizontal="center" shrinkToFit="1"/>
    </xf>
    <xf numFmtId="0" fontId="14" fillId="0" borderId="16" xfId="0" applyFont="1" applyFill="1" applyBorder="1" applyAlignment="1">
      <alignment horizontal="center" shrinkToFit="1"/>
    </xf>
    <xf numFmtId="43" fontId="14" fillId="0" borderId="16" xfId="36" applyFont="1" applyFill="1" applyBorder="1" applyAlignment="1">
      <alignment horizontal="center" shrinkToFit="1"/>
    </xf>
    <xf numFmtId="0" fontId="15" fillId="0" borderId="0" xfId="0" applyFont="1" applyFill="1" applyAlignment="1">
      <alignment/>
    </xf>
    <xf numFmtId="0" fontId="13" fillId="0" borderId="23" xfId="0" applyFont="1" applyFill="1" applyBorder="1" applyAlignment="1">
      <alignment horizontal="center" shrinkToFit="1"/>
    </xf>
    <xf numFmtId="0" fontId="13" fillId="0" borderId="23" xfId="0" applyFont="1" applyFill="1" applyBorder="1" applyAlignment="1">
      <alignment shrinkToFit="1"/>
    </xf>
    <xf numFmtId="188" fontId="7" fillId="0" borderId="23" xfId="36" applyNumberFormat="1" applyFont="1" applyFill="1" applyBorder="1" applyAlignment="1">
      <alignment/>
    </xf>
    <xf numFmtId="188" fontId="7" fillId="34" borderId="23" xfId="36" applyNumberFormat="1" applyFont="1" applyFill="1" applyBorder="1" applyAlignment="1">
      <alignment/>
    </xf>
    <xf numFmtId="43" fontId="7" fillId="0" borderId="0" xfId="36" applyFont="1" applyFill="1" applyAlignment="1">
      <alignment/>
    </xf>
    <xf numFmtId="0" fontId="11" fillId="0" borderId="0" xfId="0" applyFont="1" applyBorder="1" applyAlignment="1">
      <alignment horizontal="left" vertical="center"/>
    </xf>
    <xf numFmtId="43" fontId="3" fillId="34" borderId="24" xfId="36" applyNumberFormat="1" applyFont="1" applyFill="1" applyBorder="1" applyAlignment="1">
      <alignment horizontal="center"/>
    </xf>
    <xf numFmtId="43" fontId="3" fillId="34" borderId="24" xfId="36" applyFont="1" applyFill="1" applyBorder="1" applyAlignment="1">
      <alignment shrinkToFit="1"/>
    </xf>
    <xf numFmtId="0" fontId="86" fillId="0" borderId="23" xfId="0" applyFont="1" applyFill="1" applyBorder="1" applyAlignment="1">
      <alignment horizontal="left" vertical="center" shrinkToFit="1"/>
    </xf>
    <xf numFmtId="43" fontId="81" fillId="0" borderId="23" xfId="36" applyFont="1" applyFill="1" applyBorder="1" applyAlignment="1">
      <alignment horizontal="left" vertical="center" shrinkToFit="1"/>
    </xf>
    <xf numFmtId="190" fontId="5" fillId="0" borderId="25" xfId="0" applyNumberFormat="1" applyFont="1" applyBorder="1" applyAlignment="1" quotePrefix="1">
      <alignment horizontal="center" vertical="center"/>
    </xf>
    <xf numFmtId="0" fontId="81" fillId="0" borderId="11" xfId="0" applyFont="1" applyFill="1" applyBorder="1" applyAlignment="1">
      <alignment horizontal="center" vertical="center" shrinkToFit="1"/>
    </xf>
    <xf numFmtId="0" fontId="86" fillId="0" borderId="11" xfId="0" applyFont="1" applyFill="1" applyBorder="1" applyAlignment="1">
      <alignment horizontal="left" vertical="center" shrinkToFit="1"/>
    </xf>
    <xf numFmtId="43" fontId="3" fillId="0" borderId="11" xfId="36" applyFont="1" applyFill="1" applyBorder="1" applyAlignment="1">
      <alignment horizontal="left" vertical="center" shrinkToFit="1"/>
    </xf>
    <xf numFmtId="43" fontId="3" fillId="0" borderId="11" xfId="36" applyFont="1" applyFill="1" applyBorder="1" applyAlignment="1">
      <alignment vertical="center" shrinkToFit="1"/>
    </xf>
    <xf numFmtId="43" fontId="3" fillId="0" borderId="0" xfId="36" applyNumberFormat="1" applyFont="1" applyBorder="1" applyAlignment="1">
      <alignment vertical="center"/>
    </xf>
    <xf numFmtId="189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3" fontId="3" fillId="0" borderId="0" xfId="36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3" fontId="4" fillId="0" borderId="27" xfId="36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30" xfId="0" applyNumberFormat="1" applyFont="1" applyBorder="1" applyAlignment="1">
      <alignment horizontal="center"/>
    </xf>
    <xf numFmtId="43" fontId="3" fillId="0" borderId="30" xfId="36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Fill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43" fontId="4" fillId="0" borderId="28" xfId="36" applyFont="1" applyBorder="1" applyAlignment="1">
      <alignment/>
    </xf>
    <xf numFmtId="18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3" fontId="3" fillId="0" borderId="0" xfId="36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43" fontId="4" fillId="0" borderId="0" xfId="36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center" vertical="center"/>
    </xf>
    <xf numFmtId="43" fontId="4" fillId="0" borderId="28" xfId="36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 quotePrefix="1">
      <alignment horizontal="center" vertical="center"/>
    </xf>
    <xf numFmtId="43" fontId="3" fillId="0" borderId="38" xfId="36" applyFont="1" applyBorder="1" applyAlignment="1">
      <alignment vertical="center"/>
    </xf>
    <xf numFmtId="43" fontId="3" fillId="0" borderId="39" xfId="36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43" fontId="3" fillId="0" borderId="40" xfId="36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43" fontId="3" fillId="0" borderId="44" xfId="36" applyFont="1" applyBorder="1" applyAlignment="1">
      <alignment vertical="center"/>
    </xf>
    <xf numFmtId="0" fontId="11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 quotePrefix="1">
      <alignment horizontal="center" vertical="center"/>
    </xf>
    <xf numFmtId="0" fontId="3" fillId="0" borderId="43" xfId="0" applyFont="1" applyFill="1" applyBorder="1" applyAlignment="1">
      <alignment horizontal="center" shrinkToFit="1"/>
    </xf>
    <xf numFmtId="0" fontId="3" fillId="0" borderId="45" xfId="0" applyFont="1" applyBorder="1" applyAlignment="1" quotePrefix="1">
      <alignment horizontal="center" vertical="center"/>
    </xf>
    <xf numFmtId="0" fontId="3" fillId="35" borderId="41" xfId="0" applyFont="1" applyFill="1" applyBorder="1" applyAlignment="1">
      <alignment vertical="center"/>
    </xf>
    <xf numFmtId="0" fontId="3" fillId="35" borderId="42" xfId="0" applyFont="1" applyFill="1" applyBorder="1" applyAlignment="1">
      <alignment vertical="center"/>
    </xf>
    <xf numFmtId="49" fontId="3" fillId="0" borderId="45" xfId="0" applyNumberFormat="1" applyFont="1" applyBorder="1" applyAlignment="1">
      <alignment horizontal="center"/>
    </xf>
    <xf numFmtId="43" fontId="3" fillId="35" borderId="44" xfId="36" applyFont="1" applyFill="1" applyBorder="1" applyAlignment="1">
      <alignment vertical="center"/>
    </xf>
    <xf numFmtId="0" fontId="3" fillId="35" borderId="43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right" vertical="center"/>
    </xf>
    <xf numFmtId="0" fontId="3" fillId="0" borderId="41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7" fillId="0" borderId="41" xfId="0" applyFont="1" applyBorder="1" applyAlignment="1">
      <alignment/>
    </xf>
    <xf numFmtId="0" fontId="3" fillId="35" borderId="43" xfId="0" applyFont="1" applyFill="1" applyBorder="1" applyAlignment="1" quotePrefix="1">
      <alignment horizontal="center" vertical="center"/>
    </xf>
    <xf numFmtId="43" fontId="81" fillId="35" borderId="43" xfId="36" applyFont="1" applyFill="1" applyBorder="1" applyAlignment="1">
      <alignment vertical="center"/>
    </xf>
    <xf numFmtId="0" fontId="3" fillId="35" borderId="41" xfId="0" applyFont="1" applyFill="1" applyBorder="1" applyAlignment="1">
      <alignment horizontal="left" vertical="center"/>
    </xf>
    <xf numFmtId="0" fontId="3" fillId="35" borderId="42" xfId="0" applyFont="1" applyFill="1" applyBorder="1" applyAlignment="1">
      <alignment horizontal="left" vertical="center"/>
    </xf>
    <xf numFmtId="49" fontId="3" fillId="35" borderId="43" xfId="0" applyNumberFormat="1" applyFont="1" applyFill="1" applyBorder="1" applyAlignment="1">
      <alignment horizontal="center" vertical="center"/>
    </xf>
    <xf numFmtId="43" fontId="18" fillId="0" borderId="0" xfId="0" applyNumberFormat="1" applyFont="1" applyAlignment="1">
      <alignment vertical="center"/>
    </xf>
    <xf numFmtId="43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46" xfId="0" applyFont="1" applyFill="1" applyBorder="1" applyAlignment="1">
      <alignment horizontal="left" vertical="center"/>
    </xf>
    <xf numFmtId="43" fontId="3" fillId="35" borderId="43" xfId="36" applyFont="1" applyFill="1" applyBorder="1" applyAlignment="1">
      <alignment vertical="center"/>
    </xf>
    <xf numFmtId="0" fontId="3" fillId="35" borderId="47" xfId="0" applyFont="1" applyFill="1" applyBorder="1" applyAlignment="1">
      <alignment horizontal="center" vertical="center"/>
    </xf>
    <xf numFmtId="43" fontId="4" fillId="35" borderId="48" xfId="36" applyFont="1" applyFill="1" applyBorder="1" applyAlignment="1">
      <alignment vertical="center"/>
    </xf>
    <xf numFmtId="43" fontId="4" fillId="35" borderId="49" xfId="36" applyFont="1" applyFill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3" fontId="4" fillId="0" borderId="0" xfId="36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43" fontId="4" fillId="0" borderId="0" xfId="36" applyFont="1" applyAlignment="1">
      <alignment vertical="center"/>
    </xf>
    <xf numFmtId="0" fontId="4" fillId="0" borderId="51" xfId="0" applyFont="1" applyBorder="1" applyAlignment="1">
      <alignment horizontal="center" vertical="center"/>
    </xf>
    <xf numFmtId="43" fontId="4" fillId="0" borderId="52" xfId="36" applyFont="1" applyBorder="1" applyAlignment="1">
      <alignment horizontal="center" vertical="center"/>
    </xf>
    <xf numFmtId="43" fontId="4" fillId="0" borderId="53" xfId="36" applyFont="1" applyBorder="1" applyAlignment="1">
      <alignment horizontal="center" vertical="center"/>
    </xf>
    <xf numFmtId="43" fontId="3" fillId="0" borderId="54" xfId="36" applyFont="1" applyFill="1" applyBorder="1" applyAlignment="1">
      <alignment vertical="center"/>
    </xf>
    <xf numFmtId="43" fontId="3" fillId="0" borderId="55" xfId="36" applyFont="1" applyFill="1" applyBorder="1" applyAlignment="1">
      <alignment vertical="center"/>
    </xf>
    <xf numFmtId="49" fontId="3" fillId="0" borderId="23" xfId="0" applyNumberFormat="1" applyFont="1" applyBorder="1" applyAlignment="1">
      <alignment horizontal="center"/>
    </xf>
    <xf numFmtId="43" fontId="3" fillId="0" borderId="46" xfId="36" applyFont="1" applyFill="1" applyBorder="1" applyAlignment="1">
      <alignment vertical="center"/>
    </xf>
    <xf numFmtId="43" fontId="3" fillId="0" borderId="56" xfId="36" applyFont="1" applyFill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43" fontId="3" fillId="0" borderId="23" xfId="36" applyFont="1" applyFill="1" applyBorder="1" applyAlignment="1">
      <alignment vertical="center"/>
    </xf>
    <xf numFmtId="0" fontId="20" fillId="0" borderId="59" xfId="0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43" fontId="20" fillId="0" borderId="61" xfId="36" applyFont="1" applyBorder="1" applyAlignment="1">
      <alignment vertical="center"/>
    </xf>
    <xf numFmtId="43" fontId="4" fillId="0" borderId="16" xfId="36" applyFont="1" applyBorder="1" applyAlignment="1">
      <alignment vertical="center"/>
    </xf>
    <xf numFmtId="43" fontId="4" fillId="0" borderId="62" xfId="36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20" fillId="0" borderId="0" xfId="36" applyFont="1" applyBorder="1" applyAlignment="1">
      <alignment vertical="center"/>
    </xf>
    <xf numFmtId="0" fontId="20" fillId="0" borderId="0" xfId="0" applyFont="1" applyBorder="1" applyAlignment="1" quotePrefix="1">
      <alignment horizontal="center" vertical="center"/>
    </xf>
    <xf numFmtId="43" fontId="3" fillId="0" borderId="63" xfId="36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3" fontId="3" fillId="0" borderId="0" xfId="36" applyFont="1" applyFill="1" applyBorder="1" applyAlignment="1">
      <alignment horizontal="center" vertical="center"/>
    </xf>
    <xf numFmtId="43" fontId="3" fillId="0" borderId="0" xfId="36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right" vertical="center"/>
    </xf>
    <xf numFmtId="43" fontId="4" fillId="0" borderId="34" xfId="36" applyFont="1" applyFill="1" applyBorder="1" applyAlignment="1">
      <alignment vertical="center"/>
    </xf>
    <xf numFmtId="43" fontId="3" fillId="0" borderId="64" xfId="36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4" fillId="0" borderId="0" xfId="36" applyFont="1" applyFill="1" applyBorder="1" applyAlignment="1">
      <alignment vertical="center"/>
    </xf>
    <xf numFmtId="43" fontId="4" fillId="0" borderId="0" xfId="36" applyFont="1" applyFill="1" applyBorder="1" applyAlignment="1">
      <alignment horizontal="center" vertical="center"/>
    </xf>
    <xf numFmtId="0" fontId="3" fillId="0" borderId="0" xfId="0" applyFont="1" applyBorder="1" applyAlignment="1" quotePrefix="1">
      <alignment vertical="center"/>
    </xf>
    <xf numFmtId="43" fontId="3" fillId="0" borderId="24" xfId="36" applyFont="1" applyFill="1" applyBorder="1" applyAlignment="1">
      <alignment vertical="center"/>
    </xf>
    <xf numFmtId="43" fontId="3" fillId="0" borderId="65" xfId="36" applyFont="1" applyFill="1" applyBorder="1" applyAlignment="1">
      <alignment vertical="center"/>
    </xf>
    <xf numFmtId="0" fontId="3" fillId="0" borderId="50" xfId="0" applyFont="1" applyBorder="1" applyAlignment="1">
      <alignment horizontal="right" vertical="center"/>
    </xf>
    <xf numFmtId="43" fontId="3" fillId="0" borderId="50" xfId="36" applyFont="1" applyFill="1" applyBorder="1" applyAlignment="1">
      <alignment vertical="center"/>
    </xf>
    <xf numFmtId="43" fontId="3" fillId="0" borderId="50" xfId="36" applyFont="1" applyBorder="1" applyAlignment="1">
      <alignment vertical="center"/>
    </xf>
    <xf numFmtId="49" fontId="3" fillId="0" borderId="46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shrinkToFit="1"/>
    </xf>
    <xf numFmtId="0" fontId="3" fillId="0" borderId="34" xfId="0" applyFont="1" applyBorder="1" applyAlignment="1">
      <alignment horizontal="center" vertical="center"/>
    </xf>
    <xf numFmtId="43" fontId="21" fillId="0" borderId="0" xfId="36" applyFont="1" applyBorder="1" applyAlignment="1">
      <alignment horizontal="center" shrinkToFit="1"/>
    </xf>
    <xf numFmtId="43" fontId="7" fillId="0" borderId="22" xfId="36" applyFont="1" applyBorder="1" applyAlignment="1">
      <alignment shrinkToFit="1"/>
    </xf>
    <xf numFmtId="0" fontId="7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21" fillId="0" borderId="15" xfId="0" applyFont="1" applyBorder="1" applyAlignment="1">
      <alignment horizontal="center" shrinkToFit="1"/>
    </xf>
    <xf numFmtId="43" fontId="7" fillId="36" borderId="15" xfId="36" applyFont="1" applyFill="1" applyBorder="1" applyAlignment="1">
      <alignment horizontal="center" shrinkToFit="1"/>
    </xf>
    <xf numFmtId="0" fontId="21" fillId="36" borderId="15" xfId="0" applyFont="1" applyFill="1" applyBorder="1" applyAlignment="1">
      <alignment horizontal="center" shrinkToFit="1"/>
    </xf>
    <xf numFmtId="43" fontId="7" fillId="37" borderId="15" xfId="36" applyFont="1" applyFill="1" applyBorder="1" applyAlignment="1">
      <alignment horizontal="center" shrinkToFit="1"/>
    </xf>
    <xf numFmtId="43" fontId="7" fillId="38" borderId="15" xfId="36" applyFont="1" applyFill="1" applyBorder="1" applyAlignment="1">
      <alignment horizontal="center" shrinkToFit="1"/>
    </xf>
    <xf numFmtId="43" fontId="7" fillId="39" borderId="15" xfId="36" applyFont="1" applyFill="1" applyBorder="1" applyAlignment="1">
      <alignment horizontal="center" shrinkToFit="1"/>
    </xf>
    <xf numFmtId="43" fontId="7" fillId="40" borderId="15" xfId="36" applyFont="1" applyFill="1" applyBorder="1" applyAlignment="1">
      <alignment horizontal="center" shrinkToFit="1"/>
    </xf>
    <xf numFmtId="43" fontId="7" fillId="41" borderId="15" xfId="36" applyFont="1" applyFill="1" applyBorder="1" applyAlignment="1">
      <alignment horizontal="center" shrinkToFit="1"/>
    </xf>
    <xf numFmtId="43" fontId="7" fillId="42" borderId="15" xfId="36" applyFont="1" applyFill="1" applyBorder="1" applyAlignment="1">
      <alignment horizontal="center" shrinkToFit="1"/>
    </xf>
    <xf numFmtId="43" fontId="7" fillId="43" borderId="15" xfId="36" applyFont="1" applyFill="1" applyBorder="1" applyAlignment="1">
      <alignment horizontal="center" shrinkToFit="1"/>
    </xf>
    <xf numFmtId="43" fontId="7" fillId="44" borderId="15" xfId="36" applyFont="1" applyFill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3" fillId="0" borderId="22" xfId="0" applyFont="1" applyFill="1" applyBorder="1" applyAlignment="1">
      <alignment horizontal="left" shrinkToFit="1"/>
    </xf>
    <xf numFmtId="0" fontId="3" fillId="0" borderId="22" xfId="0" applyFont="1" applyFill="1" applyBorder="1" applyAlignment="1" quotePrefix="1">
      <alignment horizontal="center" shrinkToFit="1"/>
    </xf>
    <xf numFmtId="43" fontId="3" fillId="36" borderId="22" xfId="36" applyFont="1" applyFill="1" applyBorder="1" applyAlignment="1">
      <alignment shrinkToFit="1"/>
    </xf>
    <xf numFmtId="43" fontId="3" fillId="37" borderId="22" xfId="36" applyFont="1" applyFill="1" applyBorder="1" applyAlignment="1">
      <alignment shrinkToFit="1"/>
    </xf>
    <xf numFmtId="43" fontId="3" fillId="38" borderId="22" xfId="36" applyFont="1" applyFill="1" applyBorder="1" applyAlignment="1">
      <alignment shrinkToFit="1"/>
    </xf>
    <xf numFmtId="43" fontId="3" fillId="39" borderId="22" xfId="36" applyFont="1" applyFill="1" applyBorder="1" applyAlignment="1">
      <alignment shrinkToFit="1"/>
    </xf>
    <xf numFmtId="43" fontId="3" fillId="40" borderId="22" xfId="36" applyFont="1" applyFill="1" applyBorder="1" applyAlignment="1">
      <alignment shrinkToFit="1"/>
    </xf>
    <xf numFmtId="43" fontId="3" fillId="41" borderId="22" xfId="36" applyFont="1" applyFill="1" applyBorder="1" applyAlignment="1">
      <alignment shrinkToFit="1"/>
    </xf>
    <xf numFmtId="43" fontId="3" fillId="42" borderId="22" xfId="36" applyFont="1" applyFill="1" applyBorder="1" applyAlignment="1">
      <alignment shrinkToFit="1"/>
    </xf>
    <xf numFmtId="43" fontId="3" fillId="43" borderId="22" xfId="36" applyFont="1" applyFill="1" applyBorder="1" applyAlignment="1">
      <alignment shrinkToFit="1"/>
    </xf>
    <xf numFmtId="43" fontId="3" fillId="44" borderId="22" xfId="36" applyFont="1" applyFill="1" applyBorder="1" applyAlignment="1">
      <alignment shrinkToFit="1"/>
    </xf>
    <xf numFmtId="43" fontId="3" fillId="0" borderId="0" xfId="36" applyFont="1" applyAlignment="1">
      <alignment shrinkToFit="1"/>
    </xf>
    <xf numFmtId="43" fontId="3" fillId="38" borderId="23" xfId="36" applyFont="1" applyFill="1" applyBorder="1" applyAlignment="1">
      <alignment shrinkToFit="1"/>
    </xf>
    <xf numFmtId="43" fontId="3" fillId="39" borderId="23" xfId="36" applyFont="1" applyFill="1" applyBorder="1" applyAlignment="1">
      <alignment shrinkToFit="1"/>
    </xf>
    <xf numFmtId="43" fontId="3" fillId="40" borderId="23" xfId="36" applyFont="1" applyFill="1" applyBorder="1" applyAlignment="1">
      <alignment shrinkToFit="1"/>
    </xf>
    <xf numFmtId="43" fontId="3" fillId="42" borderId="23" xfId="36" applyFont="1" applyFill="1" applyBorder="1" applyAlignment="1">
      <alignment shrinkToFit="1"/>
    </xf>
    <xf numFmtId="43" fontId="3" fillId="44" borderId="23" xfId="36" applyFont="1" applyFill="1" applyBorder="1" applyAlignment="1">
      <alignment shrinkToFit="1"/>
    </xf>
    <xf numFmtId="43" fontId="3" fillId="0" borderId="0" xfId="0" applyNumberFormat="1" applyFont="1" applyAlignment="1">
      <alignment shrinkToFit="1"/>
    </xf>
    <xf numFmtId="49" fontId="3" fillId="0" borderId="22" xfId="0" applyNumberFormat="1" applyFont="1" applyFill="1" applyBorder="1" applyAlignment="1">
      <alignment horizontal="center" shrinkToFit="1"/>
    </xf>
    <xf numFmtId="43" fontId="22" fillId="0" borderId="0" xfId="0" applyNumberFormat="1" applyFont="1" applyAlignment="1">
      <alignment shrinkToFit="1"/>
    </xf>
    <xf numFmtId="0" fontId="3" fillId="0" borderId="23" xfId="0" applyFont="1" applyFill="1" applyBorder="1" applyAlignment="1">
      <alignment horizontal="left" shrinkToFit="1"/>
    </xf>
    <xf numFmtId="43" fontId="4" fillId="37" borderId="22" xfId="36" applyFont="1" applyFill="1" applyBorder="1" applyAlignment="1">
      <alignment shrinkToFit="1"/>
    </xf>
    <xf numFmtId="49" fontId="3" fillId="0" borderId="23" xfId="0" applyNumberFormat="1" applyFont="1" applyFill="1" applyBorder="1" applyAlignment="1">
      <alignment horizontal="center" shrinkToFit="1"/>
    </xf>
    <xf numFmtId="43" fontId="3" fillId="37" borderId="23" xfId="36" applyFont="1" applyFill="1" applyBorder="1" applyAlignment="1">
      <alignment shrinkToFit="1"/>
    </xf>
    <xf numFmtId="43" fontId="3" fillId="36" borderId="23" xfId="36" applyFont="1" applyFill="1" applyBorder="1" applyAlignment="1">
      <alignment shrinkToFit="1"/>
    </xf>
    <xf numFmtId="43" fontId="3" fillId="41" borderId="23" xfId="36" applyFont="1" applyFill="1" applyBorder="1" applyAlignment="1">
      <alignment shrinkToFit="1"/>
    </xf>
    <xf numFmtId="43" fontId="20" fillId="37" borderId="23" xfId="36" applyFont="1" applyFill="1" applyBorder="1" applyAlignment="1">
      <alignment shrinkToFit="1"/>
    </xf>
    <xf numFmtId="43" fontId="20" fillId="38" borderId="23" xfId="36" applyFont="1" applyFill="1" applyBorder="1" applyAlignment="1">
      <alignment shrinkToFit="1"/>
    </xf>
    <xf numFmtId="43" fontId="87" fillId="41" borderId="22" xfId="36" applyFont="1" applyFill="1" applyBorder="1" applyAlignment="1">
      <alignment shrinkToFit="1"/>
    </xf>
    <xf numFmtId="43" fontId="20" fillId="42" borderId="23" xfId="36" applyFont="1" applyFill="1" applyBorder="1" applyAlignment="1">
      <alignment shrinkToFit="1"/>
    </xf>
    <xf numFmtId="43" fontId="81" fillId="44" borderId="23" xfId="36" applyFont="1" applyFill="1" applyBorder="1" applyAlignment="1">
      <alignment shrinkToFit="1"/>
    </xf>
    <xf numFmtId="0" fontId="20" fillId="0" borderId="0" xfId="0" applyFont="1" applyAlignment="1">
      <alignment shrinkToFit="1"/>
    </xf>
    <xf numFmtId="0" fontId="7" fillId="2" borderId="22" xfId="0" applyFont="1" applyFill="1" applyBorder="1" applyAlignment="1">
      <alignment horizontal="left" shrinkToFit="1"/>
    </xf>
    <xf numFmtId="0" fontId="3" fillId="2" borderId="22" xfId="0" applyFont="1" applyFill="1" applyBorder="1" applyAlignment="1" quotePrefix="1">
      <alignment horizontal="center" shrinkToFit="1"/>
    </xf>
    <xf numFmtId="43" fontId="3" fillId="2" borderId="22" xfId="36" applyFont="1" applyFill="1" applyBorder="1" applyAlignment="1">
      <alignment shrinkToFit="1"/>
    </xf>
    <xf numFmtId="43" fontId="20" fillId="2" borderId="23" xfId="36" applyFont="1" applyFill="1" applyBorder="1" applyAlignment="1">
      <alignment shrinkToFit="1"/>
    </xf>
    <xf numFmtId="43" fontId="3" fillId="2" borderId="23" xfId="36" applyFont="1" applyFill="1" applyBorder="1" applyAlignment="1">
      <alignment shrinkToFit="1"/>
    </xf>
    <xf numFmtId="43" fontId="20" fillId="2" borderId="0" xfId="0" applyNumberFormat="1" applyFont="1" applyFill="1" applyAlignment="1">
      <alignment shrinkToFit="1"/>
    </xf>
    <xf numFmtId="0" fontId="20" fillId="2" borderId="0" xfId="0" applyFont="1" applyFill="1" applyAlignment="1">
      <alignment shrinkToFit="1"/>
    </xf>
    <xf numFmtId="43" fontId="20" fillId="36" borderId="23" xfId="36" applyFont="1" applyFill="1" applyBorder="1" applyAlignment="1">
      <alignment shrinkToFit="1"/>
    </xf>
    <xf numFmtId="43" fontId="20" fillId="41" borderId="23" xfId="36" applyFont="1" applyFill="1" applyBorder="1" applyAlignment="1">
      <alignment shrinkToFit="1"/>
    </xf>
    <xf numFmtId="43" fontId="20" fillId="44" borderId="23" xfId="36" applyFont="1" applyFill="1" applyBorder="1" applyAlignment="1">
      <alignment shrinkToFit="1"/>
    </xf>
    <xf numFmtId="0" fontId="7" fillId="2" borderId="23" xfId="0" applyFont="1" applyFill="1" applyBorder="1" applyAlignment="1">
      <alignment horizontal="left" shrinkToFit="1"/>
    </xf>
    <xf numFmtId="0" fontId="3" fillId="2" borderId="23" xfId="0" applyFont="1" applyFill="1" applyBorder="1" applyAlignment="1">
      <alignment horizontal="center" shrinkToFit="1"/>
    </xf>
    <xf numFmtId="0" fontId="11" fillId="2" borderId="23" xfId="0" applyFont="1" applyFill="1" applyBorder="1" applyAlignment="1">
      <alignment horizontal="left" shrinkToFit="1"/>
    </xf>
    <xf numFmtId="43" fontId="20" fillId="0" borderId="0" xfId="0" applyNumberFormat="1" applyFont="1" applyAlignment="1">
      <alignment shrinkToFit="1"/>
    </xf>
    <xf numFmtId="43" fontId="87" fillId="41" borderId="23" xfId="36" applyFont="1" applyFill="1" applyBorder="1" applyAlignment="1">
      <alignment shrinkToFit="1"/>
    </xf>
    <xf numFmtId="0" fontId="23" fillId="0" borderId="41" xfId="0" applyFont="1" applyBorder="1" applyAlignment="1">
      <alignment horizontal="left" vertical="center"/>
    </xf>
    <xf numFmtId="0" fontId="3" fillId="0" borderId="24" xfId="0" applyFont="1" applyFill="1" applyBorder="1" applyAlignment="1">
      <alignment horizontal="left" shrinkToFit="1"/>
    </xf>
    <xf numFmtId="0" fontId="3" fillId="0" borderId="66" xfId="0" applyFont="1" applyFill="1" applyBorder="1" applyAlignment="1">
      <alignment horizontal="center" shrinkToFit="1"/>
    </xf>
    <xf numFmtId="43" fontId="3" fillId="37" borderId="24" xfId="36" applyFont="1" applyFill="1" applyBorder="1" applyAlignment="1">
      <alignment shrinkToFit="1"/>
    </xf>
    <xf numFmtId="43" fontId="3" fillId="38" borderId="24" xfId="36" applyFont="1" applyFill="1" applyBorder="1" applyAlignment="1">
      <alignment shrinkToFit="1"/>
    </xf>
    <xf numFmtId="43" fontId="3" fillId="40" borderId="24" xfId="36" applyFont="1" applyFill="1" applyBorder="1" applyAlignment="1">
      <alignment shrinkToFit="1"/>
    </xf>
    <xf numFmtId="43" fontId="20" fillId="41" borderId="24" xfId="36" applyFont="1" applyFill="1" applyBorder="1" applyAlignment="1">
      <alignment shrinkToFit="1"/>
    </xf>
    <xf numFmtId="43" fontId="3" fillId="42" borderId="24" xfId="36" applyFont="1" applyFill="1" applyBorder="1" applyAlignment="1">
      <alignment shrinkToFit="1"/>
    </xf>
    <xf numFmtId="43" fontId="3" fillId="43" borderId="11" xfId="36" applyFont="1" applyFill="1" applyBorder="1" applyAlignment="1">
      <alignment shrinkToFit="1"/>
    </xf>
    <xf numFmtId="0" fontId="3" fillId="0" borderId="66" xfId="0" applyFont="1" applyFill="1" applyBorder="1" applyAlignment="1" quotePrefix="1">
      <alignment horizontal="center" shrinkToFit="1"/>
    </xf>
    <xf numFmtId="43" fontId="81" fillId="36" borderId="23" xfId="36" applyFont="1" applyFill="1" applyBorder="1" applyAlignment="1">
      <alignment shrinkToFit="1"/>
    </xf>
    <xf numFmtId="43" fontId="3" fillId="41" borderId="24" xfId="36" applyFont="1" applyFill="1" applyBorder="1" applyAlignment="1">
      <alignment shrinkToFit="1"/>
    </xf>
    <xf numFmtId="43" fontId="22" fillId="43" borderId="23" xfId="36" applyFont="1" applyFill="1" applyBorder="1" applyAlignment="1">
      <alignment shrinkToFit="1"/>
    </xf>
    <xf numFmtId="43" fontId="3" fillId="44" borderId="24" xfId="36" applyFont="1" applyFill="1" applyBorder="1" applyAlignment="1">
      <alignment shrinkToFit="1"/>
    </xf>
    <xf numFmtId="43" fontId="87" fillId="0" borderId="0" xfId="0" applyNumberFormat="1" applyFont="1" applyAlignment="1">
      <alignment shrinkToFit="1"/>
    </xf>
    <xf numFmtId="0" fontId="3" fillId="0" borderId="22" xfId="0" applyFont="1" applyFill="1" applyBorder="1" applyAlignment="1">
      <alignment horizontal="center" shrinkToFit="1"/>
    </xf>
    <xf numFmtId="43" fontId="3" fillId="43" borderId="23" xfId="36" applyFont="1" applyFill="1" applyBorder="1" applyAlignment="1">
      <alignment shrinkToFit="1"/>
    </xf>
    <xf numFmtId="0" fontId="3" fillId="0" borderId="0" xfId="0" applyFont="1" applyFill="1" applyBorder="1" applyAlignment="1" quotePrefix="1">
      <alignment horizontal="center" shrinkToFit="1"/>
    </xf>
    <xf numFmtId="43" fontId="3" fillId="36" borderId="11" xfId="36" applyFont="1" applyFill="1" applyBorder="1" applyAlignment="1">
      <alignment shrinkToFit="1"/>
    </xf>
    <xf numFmtId="43" fontId="22" fillId="36" borderId="24" xfId="36" applyFont="1" applyFill="1" applyBorder="1" applyAlignment="1">
      <alignment shrinkToFit="1"/>
    </xf>
    <xf numFmtId="43" fontId="24" fillId="43" borderId="22" xfId="36" applyFont="1" applyFill="1" applyBorder="1" applyAlignment="1">
      <alignment shrinkToFit="1"/>
    </xf>
    <xf numFmtId="43" fontId="22" fillId="36" borderId="22" xfId="36" applyFont="1" applyFill="1" applyBorder="1" applyAlignment="1">
      <alignment shrinkToFit="1"/>
    </xf>
    <xf numFmtId="43" fontId="3" fillId="36" borderId="23" xfId="36" applyFont="1" applyFill="1" applyBorder="1" applyAlignment="1">
      <alignment horizontal="center" shrinkToFit="1"/>
    </xf>
    <xf numFmtId="43" fontId="22" fillId="41" borderId="23" xfId="36" applyFont="1" applyFill="1" applyBorder="1" applyAlignment="1">
      <alignment shrinkToFit="1"/>
    </xf>
    <xf numFmtId="43" fontId="22" fillId="42" borderId="23" xfId="36" applyFont="1" applyFill="1" applyBorder="1" applyAlignment="1">
      <alignment shrinkToFit="1"/>
    </xf>
    <xf numFmtId="0" fontId="22" fillId="0" borderId="0" xfId="0" applyFont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43" fontId="81" fillId="36" borderId="22" xfId="36" applyFont="1" applyFill="1" applyBorder="1" applyAlignment="1">
      <alignment shrinkToFit="1"/>
    </xf>
    <xf numFmtId="43" fontId="22" fillId="43" borderId="22" xfId="36" applyFont="1" applyFill="1" applyBorder="1" applyAlignment="1">
      <alignment shrinkToFit="1"/>
    </xf>
    <xf numFmtId="0" fontId="3" fillId="0" borderId="67" xfId="0" applyFont="1" applyFill="1" applyBorder="1" applyAlignment="1">
      <alignment horizontal="left" shrinkToFit="1"/>
    </xf>
    <xf numFmtId="0" fontId="3" fillId="0" borderId="61" xfId="0" applyFont="1" applyFill="1" applyBorder="1" applyAlignment="1">
      <alignment horizontal="center" shrinkToFit="1"/>
    </xf>
    <xf numFmtId="43" fontId="22" fillId="36" borderId="11" xfId="36" applyFont="1" applyFill="1" applyBorder="1" applyAlignment="1">
      <alignment shrinkToFit="1"/>
    </xf>
    <xf numFmtId="43" fontId="3" fillId="36" borderId="11" xfId="36" applyFont="1" applyFill="1" applyBorder="1" applyAlignment="1">
      <alignment horizontal="center" shrinkToFit="1"/>
    </xf>
    <xf numFmtId="43" fontId="3" fillId="37" borderId="11" xfId="36" applyFont="1" applyFill="1" applyBorder="1" applyAlignment="1">
      <alignment shrinkToFit="1"/>
    </xf>
    <xf numFmtId="43" fontId="3" fillId="40" borderId="11" xfId="36" applyFont="1" applyFill="1" applyBorder="1" applyAlignment="1">
      <alignment shrinkToFit="1"/>
    </xf>
    <xf numFmtId="43" fontId="22" fillId="41" borderId="11" xfId="36" applyFont="1" applyFill="1" applyBorder="1" applyAlignment="1">
      <alignment shrinkToFit="1"/>
    </xf>
    <xf numFmtId="43" fontId="22" fillId="42" borderId="11" xfId="36" applyFont="1" applyFill="1" applyBorder="1" applyAlignment="1">
      <alignment shrinkToFit="1"/>
    </xf>
    <xf numFmtId="43" fontId="22" fillId="43" borderId="11" xfId="36" applyFont="1" applyFill="1" applyBorder="1" applyAlignment="1">
      <alignment shrinkToFit="1"/>
    </xf>
    <xf numFmtId="43" fontId="3" fillId="44" borderId="11" xfId="36" applyFont="1" applyFill="1" applyBorder="1" applyAlignment="1">
      <alignment shrinkToFit="1"/>
    </xf>
    <xf numFmtId="0" fontId="4" fillId="0" borderId="15" xfId="0" applyFont="1" applyFill="1" applyBorder="1" applyAlignment="1">
      <alignment horizontal="left" shrinkToFit="1"/>
    </xf>
    <xf numFmtId="43" fontId="25" fillId="44" borderId="16" xfId="36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 shrinkToFit="1"/>
    </xf>
    <xf numFmtId="43" fontId="25" fillId="45" borderId="0" xfId="36" applyFont="1" applyFill="1" applyBorder="1" applyAlignment="1">
      <alignment horizontal="center" shrinkToFit="1"/>
    </xf>
    <xf numFmtId="43" fontId="25" fillId="36" borderId="0" xfId="36" applyFont="1" applyFill="1" applyBorder="1" applyAlignment="1">
      <alignment horizontal="center" shrinkToFit="1"/>
    </xf>
    <xf numFmtId="43" fontId="3" fillId="37" borderId="0" xfId="36" applyFont="1" applyFill="1" applyBorder="1" applyAlignment="1">
      <alignment shrinkToFit="1"/>
    </xf>
    <xf numFmtId="43" fontId="3" fillId="38" borderId="0" xfId="36" applyFont="1" applyFill="1" applyAlignment="1">
      <alignment shrinkToFit="1"/>
    </xf>
    <xf numFmtId="43" fontId="3" fillId="39" borderId="0" xfId="36" applyFont="1" applyFill="1" applyAlignment="1">
      <alignment shrinkToFit="1"/>
    </xf>
    <xf numFmtId="43" fontId="3" fillId="40" borderId="0" xfId="36" applyFont="1" applyFill="1" applyAlignment="1">
      <alignment shrinkToFit="1"/>
    </xf>
    <xf numFmtId="43" fontId="3" fillId="41" borderId="0" xfId="36" applyFont="1" applyFill="1" applyAlignment="1">
      <alignment shrinkToFit="1"/>
    </xf>
    <xf numFmtId="43" fontId="3" fillId="42" borderId="0" xfId="36" applyFont="1" applyFill="1" applyAlignment="1">
      <alignment shrinkToFit="1"/>
    </xf>
    <xf numFmtId="43" fontId="3" fillId="43" borderId="0" xfId="36" applyFont="1" applyFill="1" applyAlignment="1">
      <alignment shrinkToFit="1"/>
    </xf>
    <xf numFmtId="43" fontId="3" fillId="44" borderId="0" xfId="36" applyFont="1" applyFill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43" fontId="3" fillId="45" borderId="0" xfId="36" applyFont="1" applyFill="1" applyBorder="1" applyAlignment="1">
      <alignment horizontal="left" shrinkToFit="1"/>
    </xf>
    <xf numFmtId="0" fontId="3" fillId="36" borderId="0" xfId="0" applyFont="1" applyFill="1" applyBorder="1" applyAlignment="1">
      <alignment horizontal="left" shrinkToFit="1"/>
    </xf>
    <xf numFmtId="43" fontId="3" fillId="37" borderId="0" xfId="36" applyFont="1" applyFill="1" applyBorder="1" applyAlignment="1">
      <alignment horizontal="left" shrinkToFit="1"/>
    </xf>
    <xf numFmtId="0" fontId="3" fillId="36" borderId="0" xfId="0" applyFont="1" applyFill="1" applyAlignment="1">
      <alignment shrinkToFit="1"/>
    </xf>
    <xf numFmtId="43" fontId="3" fillId="37" borderId="0" xfId="36" applyFont="1" applyFill="1" applyAlignment="1">
      <alignment shrinkToFit="1"/>
    </xf>
    <xf numFmtId="0" fontId="3" fillId="0" borderId="0" xfId="0" applyFont="1" applyAlignment="1">
      <alignment horizontal="right" shrinkToFit="1"/>
    </xf>
    <xf numFmtId="0" fontId="3" fillId="45" borderId="0" xfId="0" applyFont="1" applyFill="1" applyAlignment="1">
      <alignment shrinkToFit="1"/>
    </xf>
    <xf numFmtId="0" fontId="3" fillId="36" borderId="0" xfId="0" applyFont="1" applyFill="1" applyBorder="1" applyAlignment="1">
      <alignment horizontal="center" shrinkToFit="1"/>
    </xf>
    <xf numFmtId="43" fontId="3" fillId="37" borderId="0" xfId="36" applyFont="1" applyFill="1" applyBorder="1" applyAlignment="1">
      <alignment horizontal="center" shrinkToFi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 quotePrefix="1">
      <alignment horizontal="center" vertical="center"/>
    </xf>
    <xf numFmtId="43" fontId="3" fillId="0" borderId="68" xfId="36" applyFont="1" applyFill="1" applyBorder="1" applyAlignment="1">
      <alignment vertical="center"/>
    </xf>
    <xf numFmtId="43" fontId="3" fillId="0" borderId="23" xfId="36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43" fontId="3" fillId="0" borderId="22" xfId="36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43" fontId="3" fillId="35" borderId="22" xfId="36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43" fontId="3" fillId="0" borderId="23" xfId="3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3" fontId="4" fillId="0" borderId="15" xfId="36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3" fontId="3" fillId="0" borderId="11" xfId="36" applyFont="1" applyBorder="1" applyAlignment="1">
      <alignment vertical="center"/>
    </xf>
    <xf numFmtId="43" fontId="3" fillId="33" borderId="11" xfId="36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43" fontId="4" fillId="0" borderId="52" xfId="36" applyFont="1" applyBorder="1" applyAlignment="1">
      <alignment vertical="center"/>
    </xf>
    <xf numFmtId="43" fontId="4" fillId="33" borderId="52" xfId="36" applyFont="1" applyFill="1" applyBorder="1" applyAlignment="1">
      <alignment vertical="center"/>
    </xf>
    <xf numFmtId="43" fontId="3" fillId="0" borderId="11" xfId="36" applyFont="1" applyBorder="1" applyAlignment="1">
      <alignment horizontal="right" vertical="center"/>
    </xf>
    <xf numFmtId="43" fontId="3" fillId="33" borderId="11" xfId="36" applyFont="1" applyFill="1" applyBorder="1" applyAlignment="1">
      <alignment horizontal="right" vertical="center"/>
    </xf>
    <xf numFmtId="43" fontId="3" fillId="0" borderId="11" xfId="36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191" fontId="3" fillId="0" borderId="10" xfId="36" applyNumberFormat="1" applyFont="1" applyBorder="1" applyAlignment="1">
      <alignment vertical="center"/>
    </xf>
    <xf numFmtId="191" fontId="3" fillId="33" borderId="10" xfId="36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7" fillId="0" borderId="0" xfId="36" applyFont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70" xfId="0" applyFont="1" applyBorder="1" applyAlignment="1">
      <alignment horizontal="left" vertical="center"/>
    </xf>
    <xf numFmtId="0" fontId="3" fillId="0" borderId="71" xfId="0" applyFont="1" applyBorder="1" applyAlignment="1">
      <alignment horizontal="center" vertical="center"/>
    </xf>
    <xf numFmtId="43" fontId="3" fillId="0" borderId="22" xfId="36" applyFont="1" applyBorder="1" applyAlignment="1">
      <alignment vertical="center"/>
    </xf>
    <xf numFmtId="43" fontId="3" fillId="0" borderId="22" xfId="36" applyNumberFormat="1" applyFont="1" applyBorder="1" applyAlignment="1">
      <alignment vertical="center"/>
    </xf>
    <xf numFmtId="0" fontId="3" fillId="0" borderId="72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43" fontId="3" fillId="0" borderId="23" xfId="36" applyNumberFormat="1" applyFont="1" applyBorder="1" applyAlignment="1">
      <alignment vertical="center"/>
    </xf>
    <xf numFmtId="0" fontId="7" fillId="0" borderId="7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/>
    </xf>
    <xf numFmtId="43" fontId="3" fillId="0" borderId="24" xfId="36" applyFont="1" applyBorder="1" applyAlignment="1">
      <alignment vertical="center"/>
    </xf>
    <xf numFmtId="0" fontId="7" fillId="0" borderId="72" xfId="0" applyFont="1" applyBorder="1" applyAlignment="1">
      <alignment horizontal="left" vertical="center" shrinkToFit="1"/>
    </xf>
    <xf numFmtId="0" fontId="3" fillId="0" borderId="32" xfId="0" applyFont="1" applyBorder="1" applyAlignment="1">
      <alignment/>
    </xf>
    <xf numFmtId="43" fontId="3" fillId="0" borderId="24" xfId="36" applyNumberFormat="1" applyFont="1" applyBorder="1" applyAlignment="1">
      <alignment vertical="center"/>
    </xf>
    <xf numFmtId="0" fontId="3" fillId="0" borderId="72" xfId="0" applyFont="1" applyBorder="1" applyAlignment="1">
      <alignment/>
    </xf>
    <xf numFmtId="43" fontId="4" fillId="0" borderId="28" xfId="36" applyFont="1" applyBorder="1" applyAlignment="1">
      <alignment vertical="center"/>
    </xf>
    <xf numFmtId="43" fontId="7" fillId="0" borderId="0" xfId="36" applyFont="1" applyAlignment="1">
      <alignment/>
    </xf>
    <xf numFmtId="0" fontId="7" fillId="0" borderId="0" xfId="0" applyFont="1" applyBorder="1" applyAlignment="1">
      <alignment/>
    </xf>
    <xf numFmtId="43" fontId="7" fillId="0" borderId="0" xfId="36" applyFont="1" applyBorder="1" applyAlignment="1">
      <alignment/>
    </xf>
    <xf numFmtId="0" fontId="4" fillId="0" borderId="29" xfId="0" applyFont="1" applyBorder="1" applyAlignment="1">
      <alignment vertical="center"/>
    </xf>
    <xf numFmtId="0" fontId="3" fillId="0" borderId="74" xfId="0" applyFont="1" applyBorder="1" applyAlignment="1">
      <alignment horizontal="right" vertical="center"/>
    </xf>
    <xf numFmtId="0" fontId="3" fillId="0" borderId="74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3" fontId="4" fillId="0" borderId="50" xfId="36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63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vertical="center"/>
    </xf>
    <xf numFmtId="192" fontId="3" fillId="0" borderId="31" xfId="0" applyNumberFormat="1" applyFon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49" fontId="3" fillId="0" borderId="31" xfId="0" applyNumberFormat="1" applyFont="1" applyBorder="1" applyAlignment="1" quotePrefix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quotePrefix="1">
      <alignment horizontal="center" vertical="center"/>
    </xf>
    <xf numFmtId="189" fontId="3" fillId="0" borderId="0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vertical="center"/>
    </xf>
    <xf numFmtId="43" fontId="3" fillId="0" borderId="0" xfId="36" applyFont="1" applyBorder="1" applyAlignment="1">
      <alignment horizontal="right" vertical="center"/>
    </xf>
    <xf numFmtId="43" fontId="3" fillId="0" borderId="0" xfId="0" applyNumberFormat="1" applyFont="1" applyBorder="1" applyAlignment="1">
      <alignment vertical="center"/>
    </xf>
    <xf numFmtId="49" fontId="11" fillId="0" borderId="31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3" fontId="3" fillId="0" borderId="75" xfId="36" applyFont="1" applyBorder="1" applyAlignment="1">
      <alignment vertical="center"/>
    </xf>
    <xf numFmtId="49" fontId="3" fillId="0" borderId="31" xfId="0" applyNumberFormat="1" applyFont="1" applyBorder="1" applyAlignment="1">
      <alignment horizontal="left" vertical="center"/>
    </xf>
    <xf numFmtId="43" fontId="4" fillId="0" borderId="76" xfId="36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3" fillId="0" borderId="64" xfId="0" applyFont="1" applyBorder="1" applyAlignment="1">
      <alignment vertical="center"/>
    </xf>
    <xf numFmtId="43" fontId="4" fillId="0" borderId="34" xfId="36" applyFont="1" applyBorder="1" applyAlignment="1">
      <alignment vertical="center"/>
    </xf>
    <xf numFmtId="0" fontId="3" fillId="0" borderId="63" xfId="0" applyFont="1" applyBorder="1" applyAlignment="1">
      <alignment horizontal="right" vertical="center"/>
    </xf>
    <xf numFmtId="0" fontId="3" fillId="0" borderId="31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63" xfId="0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center" vertical="center"/>
    </xf>
    <xf numFmtId="43" fontId="4" fillId="0" borderId="75" xfId="36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43" fontId="4" fillId="0" borderId="50" xfId="36" applyFont="1" applyBorder="1" applyAlignment="1">
      <alignment horizontal="right" vertical="center"/>
    </xf>
    <xf numFmtId="192" fontId="3" fillId="0" borderId="31" xfId="0" applyNumberFormat="1" applyFont="1" applyBorder="1" applyAlignment="1" quotePrefix="1">
      <alignment horizontal="center" vertical="center"/>
    </xf>
    <xf numFmtId="192" fontId="3" fillId="0" borderId="0" xfId="0" applyNumberFormat="1" applyFont="1" applyBorder="1" applyAlignment="1" quotePrefix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43" fontId="7" fillId="0" borderId="0" xfId="36" applyFont="1" applyBorder="1" applyAlignment="1">
      <alignment horizontal="right" vertical="center"/>
    </xf>
    <xf numFmtId="43" fontId="3" fillId="0" borderId="31" xfId="0" applyNumberFormat="1" applyFont="1" applyBorder="1" applyAlignment="1">
      <alignment horizontal="right" vertical="center"/>
    </xf>
    <xf numFmtId="43" fontId="3" fillId="0" borderId="31" xfId="0" applyNumberFormat="1" applyFont="1" applyBorder="1" applyAlignment="1">
      <alignment vertical="center"/>
    </xf>
    <xf numFmtId="189" fontId="3" fillId="0" borderId="31" xfId="0" applyNumberFormat="1" applyFont="1" applyBorder="1" applyAlignment="1">
      <alignment vertical="center"/>
    </xf>
    <xf numFmtId="43" fontId="4" fillId="0" borderId="31" xfId="36" applyFont="1" applyBorder="1" applyAlignment="1">
      <alignment vertical="center"/>
    </xf>
    <xf numFmtId="43" fontId="4" fillId="0" borderId="77" xfId="36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3" fontId="6" fillId="33" borderId="0" xfId="36" applyFont="1" applyFill="1" applyBorder="1" applyAlignment="1">
      <alignment vertical="center"/>
    </xf>
    <xf numFmtId="43" fontId="6" fillId="0" borderId="0" xfId="36" applyFont="1" applyBorder="1" applyAlignment="1">
      <alignment vertical="center"/>
    </xf>
    <xf numFmtId="0" fontId="3" fillId="0" borderId="7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" fontId="3" fillId="0" borderId="0" xfId="0" applyNumberFormat="1" applyFont="1" applyFill="1" applyBorder="1" applyAlignment="1">
      <alignment vertical="center"/>
    </xf>
    <xf numFmtId="0" fontId="81" fillId="0" borderId="31" xfId="0" applyFont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43" fontId="81" fillId="0" borderId="0" xfId="36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43" fontId="81" fillId="0" borderId="63" xfId="36" applyFont="1" applyBorder="1" applyAlignment="1">
      <alignment vertical="center"/>
    </xf>
    <xf numFmtId="0" fontId="81" fillId="0" borderId="31" xfId="0" applyFont="1" applyBorder="1" applyAlignment="1">
      <alignment horizontal="right" vertical="center"/>
    </xf>
    <xf numFmtId="43" fontId="81" fillId="0" borderId="0" xfId="36" applyFont="1" applyFill="1" applyBorder="1" applyAlignment="1">
      <alignment horizontal="center" vertical="center"/>
    </xf>
    <xf numFmtId="43" fontId="81" fillId="0" borderId="0" xfId="36" applyFont="1" applyFill="1" applyBorder="1" applyAlignment="1">
      <alignment vertical="center"/>
    </xf>
    <xf numFmtId="0" fontId="81" fillId="0" borderId="0" xfId="0" applyFont="1" applyFill="1" applyBorder="1" applyAlignment="1">
      <alignment horizontal="right" vertical="center"/>
    </xf>
    <xf numFmtId="0" fontId="8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" fontId="3" fillId="0" borderId="0" xfId="0" applyNumberFormat="1" applyFont="1" applyFill="1" applyBorder="1" applyAlignment="1" quotePrefix="1">
      <alignment vertical="center"/>
    </xf>
    <xf numFmtId="43" fontId="27" fillId="0" borderId="23" xfId="36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27" fillId="44" borderId="0" xfId="0" applyFont="1" applyFill="1" applyAlignment="1">
      <alignment vertical="center"/>
    </xf>
    <xf numFmtId="0" fontId="27" fillId="34" borderId="0" xfId="0" applyFont="1" applyFill="1" applyAlignment="1">
      <alignment vertical="center"/>
    </xf>
    <xf numFmtId="43" fontId="3" fillId="0" borderId="78" xfId="36" applyFont="1" applyBorder="1" applyAlignment="1">
      <alignment vertical="center"/>
    </xf>
    <xf numFmtId="43" fontId="3" fillId="0" borderId="34" xfId="36" applyFont="1" applyBorder="1" applyAlignment="1">
      <alignment vertical="center"/>
    </xf>
    <xf numFmtId="43" fontId="3" fillId="0" borderId="17" xfId="36" applyFont="1" applyBorder="1" applyAlignment="1">
      <alignment vertical="center"/>
    </xf>
    <xf numFmtId="0" fontId="29" fillId="0" borderId="0" xfId="0" applyFont="1" applyAlignment="1">
      <alignment/>
    </xf>
    <xf numFmtId="0" fontId="28" fillId="0" borderId="0" xfId="0" applyFont="1" applyBorder="1" applyAlignment="1">
      <alignment/>
    </xf>
    <xf numFmtId="43" fontId="29" fillId="0" borderId="0" xfId="36" applyFont="1" applyAlignment="1">
      <alignment/>
    </xf>
    <xf numFmtId="0" fontId="28" fillId="0" borderId="0" xfId="0" applyFont="1" applyBorder="1" applyAlignment="1">
      <alignment horizontal="right"/>
    </xf>
    <xf numFmtId="43" fontId="28" fillId="0" borderId="15" xfId="36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0" borderId="24" xfId="0" applyFont="1" applyBorder="1" applyAlignment="1">
      <alignment vertical="justify" wrapText="1"/>
    </xf>
    <xf numFmtId="43" fontId="27" fillId="0" borderId="24" xfId="36" applyFont="1" applyBorder="1" applyAlignment="1">
      <alignment horizontal="center" vertical="center"/>
    </xf>
    <xf numFmtId="43" fontId="27" fillId="0" borderId="24" xfId="36" applyFont="1" applyBorder="1" applyAlignment="1">
      <alignment horizontal="center" vertical="center"/>
    </xf>
    <xf numFmtId="43" fontId="27" fillId="0" borderId="23" xfId="36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 shrinkToFit="1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left" vertical="justify" wrapText="1"/>
    </xf>
    <xf numFmtId="43" fontId="27" fillId="0" borderId="23" xfId="36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wrapText="1" shrinkToFit="1"/>
    </xf>
    <xf numFmtId="0" fontId="27" fillId="0" borderId="23" xfId="0" applyFont="1" applyBorder="1" applyAlignment="1">
      <alignment vertical="justify" wrapText="1"/>
    </xf>
    <xf numFmtId="0" fontId="30" fillId="0" borderId="23" xfId="0" applyFont="1" applyBorder="1" applyAlignment="1">
      <alignment vertical="justify" wrapText="1"/>
    </xf>
    <xf numFmtId="0" fontId="27" fillId="0" borderId="23" xfId="0" applyFont="1" applyBorder="1" applyAlignment="1">
      <alignment vertical="center"/>
    </xf>
    <xf numFmtId="0" fontId="27" fillId="0" borderId="18" xfId="0" applyFont="1" applyBorder="1" applyAlignment="1">
      <alignment/>
    </xf>
    <xf numFmtId="0" fontId="28" fillId="0" borderId="25" xfId="0" applyFont="1" applyBorder="1" applyAlignment="1">
      <alignment horizontal="right"/>
    </xf>
    <xf numFmtId="43" fontId="28" fillId="0" borderId="15" xfId="36" applyFont="1" applyBorder="1" applyAlignment="1">
      <alignment shrinkToFit="1"/>
    </xf>
    <xf numFmtId="0" fontId="27" fillId="0" borderId="15" xfId="0" applyFont="1" applyBorder="1" applyAlignment="1">
      <alignment/>
    </xf>
    <xf numFmtId="0" fontId="27" fillId="0" borderId="24" xfId="0" applyFont="1" applyBorder="1" applyAlignment="1">
      <alignment vertical="center"/>
    </xf>
    <xf numFmtId="43" fontId="27" fillId="0" borderId="24" xfId="36" applyFont="1" applyBorder="1" applyAlignment="1">
      <alignment vertical="center"/>
    </xf>
    <xf numFmtId="49" fontId="81" fillId="0" borderId="0" xfId="0" applyNumberFormat="1" applyFont="1" applyBorder="1" applyAlignment="1" quotePrefix="1">
      <alignment horizontal="center" vertical="center"/>
    </xf>
    <xf numFmtId="189" fontId="81" fillId="0" borderId="0" xfId="0" applyNumberFormat="1" applyFont="1" applyBorder="1" applyAlignment="1">
      <alignment horizontal="right" vertical="center"/>
    </xf>
    <xf numFmtId="43" fontId="81" fillId="0" borderId="40" xfId="36" applyFont="1" applyBorder="1" applyAlignment="1">
      <alignment vertical="center"/>
    </xf>
    <xf numFmtId="43" fontId="81" fillId="0" borderId="44" xfId="36" applyFont="1" applyBorder="1" applyAlignment="1">
      <alignment vertical="center"/>
    </xf>
    <xf numFmtId="43" fontId="81" fillId="35" borderId="44" xfId="36" applyFont="1" applyFill="1" applyBorder="1" applyAlignment="1">
      <alignment vertical="center"/>
    </xf>
    <xf numFmtId="43" fontId="7" fillId="0" borderId="0" xfId="0" applyNumberFormat="1" applyFont="1" applyBorder="1" applyAlignment="1">
      <alignment/>
    </xf>
    <xf numFmtId="43" fontId="27" fillId="0" borderId="0" xfId="0" applyNumberFormat="1" applyFont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85" fillId="0" borderId="51" xfId="0" applyFont="1" applyBorder="1" applyAlignment="1">
      <alignment horizontal="center" vertical="center"/>
    </xf>
    <xf numFmtId="49" fontId="81" fillId="0" borderId="79" xfId="0" applyNumberFormat="1" applyFont="1" applyBorder="1" applyAlignment="1">
      <alignment horizontal="center"/>
    </xf>
    <xf numFmtId="49" fontId="81" fillId="0" borderId="23" xfId="0" applyNumberFormat="1" applyFont="1" applyBorder="1" applyAlignment="1">
      <alignment horizontal="center"/>
    </xf>
    <xf numFmtId="0" fontId="81" fillId="0" borderId="61" xfId="0" applyFont="1" applyBorder="1" applyAlignment="1" quotePrefix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34" xfId="0" applyFont="1" applyBorder="1" applyAlignment="1">
      <alignment horizontal="center" vertical="center"/>
    </xf>
    <xf numFmtId="0" fontId="81" fillId="0" borderId="0" xfId="0" applyFont="1" applyBorder="1" applyAlignment="1" quotePrefix="1">
      <alignment horizontal="center" vertical="center"/>
    </xf>
    <xf numFmtId="43" fontId="85" fillId="0" borderId="34" xfId="0" applyNumberFormat="1" applyFont="1" applyBorder="1" applyAlignment="1">
      <alignment horizontal="center" vertical="center"/>
    </xf>
    <xf numFmtId="49" fontId="81" fillId="0" borderId="24" xfId="0" applyNumberFormat="1" applyFont="1" applyBorder="1" applyAlignment="1">
      <alignment horizontal="center"/>
    </xf>
    <xf numFmtId="0" fontId="81" fillId="0" borderId="5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 shrinkToFit="1"/>
    </xf>
    <xf numFmtId="49" fontId="81" fillId="0" borderId="23" xfId="0" applyNumberFormat="1" applyFont="1" applyBorder="1" applyAlignment="1" quotePrefix="1">
      <alignment horizontal="center"/>
    </xf>
    <xf numFmtId="49" fontId="81" fillId="0" borderId="22" xfId="0" applyNumberFormat="1" applyFont="1" applyBorder="1" applyAlignment="1">
      <alignment horizontal="center"/>
    </xf>
    <xf numFmtId="0" fontId="3" fillId="0" borderId="50" xfId="0" applyFont="1" applyFill="1" applyBorder="1" applyAlignment="1">
      <alignment vertical="center"/>
    </xf>
    <xf numFmtId="43" fontId="3" fillId="0" borderId="0" xfId="36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49" fontId="81" fillId="0" borderId="46" xfId="0" applyNumberFormat="1" applyFont="1" applyBorder="1" applyAlignment="1">
      <alignment horizontal="center" vertical="center"/>
    </xf>
    <xf numFmtId="43" fontId="3" fillId="0" borderId="79" xfId="36" applyFont="1" applyFill="1" applyBorder="1" applyAlignment="1">
      <alignment vertical="center"/>
    </xf>
    <xf numFmtId="43" fontId="3" fillId="0" borderId="56" xfId="36" applyFont="1" applyBorder="1" applyAlignment="1">
      <alignment vertical="center"/>
    </xf>
    <xf numFmtId="0" fontId="81" fillId="0" borderId="23" xfId="0" applyFont="1" applyFill="1" applyBorder="1" applyAlignment="1">
      <alignment horizontal="center" shrinkToFit="1"/>
    </xf>
    <xf numFmtId="43" fontId="3" fillId="0" borderId="46" xfId="36" applyFont="1" applyBorder="1" applyAlignment="1">
      <alignment vertical="center"/>
    </xf>
    <xf numFmtId="0" fontId="81" fillId="0" borderId="46" xfId="0" applyFont="1" applyBorder="1" applyAlignment="1" quotePrefix="1">
      <alignment horizontal="center" vertical="center"/>
    </xf>
    <xf numFmtId="0" fontId="81" fillId="0" borderId="46" xfId="0" applyFont="1" applyBorder="1" applyAlignment="1">
      <alignment horizontal="center" vertical="center"/>
    </xf>
    <xf numFmtId="0" fontId="20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43" fontId="20" fillId="0" borderId="46" xfId="36" applyFont="1" applyBorder="1" applyAlignment="1">
      <alignment vertical="center"/>
    </xf>
    <xf numFmtId="43" fontId="20" fillId="0" borderId="23" xfId="36" applyFont="1" applyBorder="1" applyAlignment="1">
      <alignment vertical="center"/>
    </xf>
    <xf numFmtId="43" fontId="20" fillId="0" borderId="24" xfId="36" applyFont="1" applyBorder="1" applyAlignment="1">
      <alignment vertical="center"/>
    </xf>
    <xf numFmtId="43" fontId="3" fillId="0" borderId="65" xfId="36" applyFont="1" applyBorder="1" applyAlignment="1">
      <alignment vertical="center"/>
    </xf>
    <xf numFmtId="43" fontId="81" fillId="0" borderId="0" xfId="36" applyFont="1" applyBorder="1" applyAlignment="1">
      <alignment horizontal="center" vertical="center"/>
    </xf>
    <xf numFmtId="43" fontId="81" fillId="0" borderId="0" xfId="36" applyFont="1" applyBorder="1" applyAlignment="1" quotePrefix="1">
      <alignment horizontal="center" vertical="center"/>
    </xf>
    <xf numFmtId="43" fontId="3" fillId="0" borderId="63" xfId="0" applyNumberFormat="1" applyFont="1" applyBorder="1" applyAlignment="1">
      <alignment vertical="center"/>
    </xf>
    <xf numFmtId="0" fontId="3" fillId="0" borderId="76" xfId="0" applyFont="1" applyFill="1" applyBorder="1" applyAlignment="1">
      <alignment horizontal="center" vertical="center"/>
    </xf>
    <xf numFmtId="43" fontId="3" fillId="0" borderId="76" xfId="36" applyFont="1" applyFill="1" applyBorder="1" applyAlignment="1">
      <alignment horizontal="center" vertical="center"/>
    </xf>
    <xf numFmtId="43" fontId="3" fillId="0" borderId="76" xfId="36" applyFont="1" applyBorder="1" applyAlignment="1">
      <alignment vertical="center"/>
    </xf>
    <xf numFmtId="43" fontId="81" fillId="0" borderId="76" xfId="36" applyFont="1" applyBorder="1" applyAlignment="1">
      <alignment vertical="center"/>
    </xf>
    <xf numFmtId="43" fontId="3" fillId="0" borderId="49" xfId="36" applyFont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43" fontId="3" fillId="0" borderId="34" xfId="36" applyFont="1" applyFill="1" applyBorder="1" applyAlignment="1">
      <alignment horizontal="center" vertical="center"/>
    </xf>
    <xf numFmtId="43" fontId="81" fillId="0" borderId="34" xfId="36" applyFont="1" applyBorder="1" applyAlignment="1">
      <alignment vertical="center"/>
    </xf>
    <xf numFmtId="49" fontId="3" fillId="0" borderId="54" xfId="0" applyNumberFormat="1" applyFont="1" applyBorder="1" applyAlignment="1">
      <alignment horizontal="center" vertical="center"/>
    </xf>
    <xf numFmtId="188" fontId="81" fillId="0" borderId="79" xfId="36" applyNumberFormat="1" applyFont="1" applyFill="1" applyBorder="1" applyAlignment="1" quotePrefix="1">
      <alignment horizontal="center" vertical="center"/>
    </xf>
    <xf numFmtId="43" fontId="3" fillId="0" borderId="80" xfId="36" applyFont="1" applyFill="1" applyBorder="1" applyAlignment="1">
      <alignment vertical="center"/>
    </xf>
    <xf numFmtId="0" fontId="3" fillId="34" borderId="81" xfId="0" applyFont="1" applyFill="1" applyBorder="1" applyAlignment="1">
      <alignment vertical="center"/>
    </xf>
    <xf numFmtId="188" fontId="81" fillId="0" borderId="23" xfId="36" applyNumberFormat="1" applyFont="1" applyFill="1" applyBorder="1" applyAlignment="1" quotePrefix="1">
      <alignment horizontal="center" vertical="center"/>
    </xf>
    <xf numFmtId="43" fontId="3" fillId="0" borderId="66" xfId="36" applyFont="1" applyFill="1" applyBorder="1" applyAlignment="1">
      <alignment vertical="center"/>
    </xf>
    <xf numFmtId="0" fontId="3" fillId="0" borderId="56" xfId="0" applyFont="1" applyBorder="1" applyAlignment="1">
      <alignment vertical="center"/>
    </xf>
    <xf numFmtId="43" fontId="81" fillId="0" borderId="34" xfId="36" applyFont="1" applyBorder="1" applyAlignment="1">
      <alignment horizontal="center" vertical="center"/>
    </xf>
    <xf numFmtId="43" fontId="3" fillId="0" borderId="64" xfId="0" applyNumberFormat="1" applyFont="1" applyBorder="1" applyAlignment="1">
      <alignment vertical="center"/>
    </xf>
    <xf numFmtId="0" fontId="3" fillId="0" borderId="66" xfId="0" applyFont="1" applyFill="1" applyBorder="1" applyAlignment="1">
      <alignment horizontal="left" vertical="center"/>
    </xf>
    <xf numFmtId="0" fontId="81" fillId="0" borderId="41" xfId="0" applyFont="1" applyBorder="1" applyAlignment="1">
      <alignment vertical="center"/>
    </xf>
    <xf numFmtId="0" fontId="81" fillId="0" borderId="42" xfId="0" applyFont="1" applyBorder="1" applyAlignment="1">
      <alignment vertical="center"/>
    </xf>
    <xf numFmtId="0" fontId="81" fillId="0" borderId="57" xfId="0" applyFont="1" applyBorder="1" applyAlignment="1">
      <alignment vertical="center"/>
    </xf>
    <xf numFmtId="0" fontId="81" fillId="0" borderId="58" xfId="0" applyFont="1" applyBorder="1" applyAlignment="1">
      <alignment vertical="center"/>
    </xf>
    <xf numFmtId="43" fontId="20" fillId="0" borderId="82" xfId="36" applyFont="1" applyBorder="1" applyAlignment="1">
      <alignment vertical="center"/>
    </xf>
    <xf numFmtId="43" fontId="20" fillId="0" borderId="11" xfId="36" applyFont="1" applyBorder="1" applyAlignment="1">
      <alignment vertical="center"/>
    </xf>
    <xf numFmtId="43" fontId="3" fillId="0" borderId="83" xfId="36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81" fillId="0" borderId="23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3" fillId="0" borderId="34" xfId="0" applyFont="1" applyFill="1" applyBorder="1" applyAlignment="1" quotePrefix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indent="6"/>
    </xf>
    <xf numFmtId="49" fontId="12" fillId="0" borderId="0" xfId="0" applyNumberFormat="1" applyFont="1" applyBorder="1" applyAlignment="1">
      <alignment horizontal="center" vertical="center"/>
    </xf>
    <xf numFmtId="43" fontId="12" fillId="0" borderId="0" xfId="36" applyFont="1" applyBorder="1" applyAlignment="1">
      <alignment horizontal="center" vertical="center"/>
    </xf>
    <xf numFmtId="43" fontId="12" fillId="0" borderId="17" xfId="36" applyFont="1" applyBorder="1" applyAlignment="1">
      <alignment horizontal="center" vertical="center"/>
    </xf>
    <xf numFmtId="43" fontId="12" fillId="0" borderId="63" xfId="36" applyFont="1" applyBorder="1" applyAlignment="1">
      <alignment vertical="center"/>
    </xf>
    <xf numFmtId="43" fontId="12" fillId="0" borderId="63" xfId="36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43" fontId="81" fillId="0" borderId="23" xfId="36" applyFont="1" applyBorder="1" applyAlignment="1">
      <alignment vertical="center"/>
    </xf>
    <xf numFmtId="43" fontId="20" fillId="0" borderId="14" xfId="36" applyFont="1" applyBorder="1" applyAlignment="1">
      <alignment vertical="center"/>
    </xf>
    <xf numFmtId="0" fontId="81" fillId="0" borderId="22" xfId="0" applyFont="1" applyBorder="1" applyAlignment="1">
      <alignment horizontal="center" vertical="center"/>
    </xf>
    <xf numFmtId="43" fontId="81" fillId="0" borderId="22" xfId="36" applyFont="1" applyBorder="1" applyAlignment="1">
      <alignment vertical="center"/>
    </xf>
    <xf numFmtId="43" fontId="3" fillId="0" borderId="84" xfId="36" applyFont="1" applyBorder="1" applyAlignment="1">
      <alignment vertical="center"/>
    </xf>
    <xf numFmtId="0" fontId="81" fillId="0" borderId="59" xfId="0" applyFont="1" applyBorder="1" applyAlignment="1">
      <alignment vertical="center"/>
    </xf>
    <xf numFmtId="0" fontId="81" fillId="0" borderId="60" xfId="0" applyFont="1" applyBorder="1" applyAlignment="1">
      <alignment vertical="center"/>
    </xf>
    <xf numFmtId="0" fontId="81" fillId="0" borderId="67" xfId="0" applyFont="1" applyBorder="1" applyAlignment="1">
      <alignment horizontal="center" vertical="center"/>
    </xf>
    <xf numFmtId="43" fontId="81" fillId="0" borderId="67" xfId="36" applyFont="1" applyBorder="1" applyAlignment="1">
      <alignment vertical="center"/>
    </xf>
    <xf numFmtId="43" fontId="3" fillId="0" borderId="85" xfId="36" applyFont="1" applyBorder="1" applyAlignment="1">
      <alignment vertical="center"/>
    </xf>
    <xf numFmtId="0" fontId="86" fillId="0" borderId="57" xfId="0" applyFont="1" applyBorder="1" applyAlignment="1">
      <alignment vertical="center"/>
    </xf>
    <xf numFmtId="43" fontId="81" fillId="0" borderId="11" xfId="36" applyFont="1" applyBorder="1" applyAlignment="1">
      <alignment vertical="center"/>
    </xf>
    <xf numFmtId="0" fontId="20" fillId="0" borderId="86" xfId="0" applyFont="1" applyBorder="1" applyAlignment="1">
      <alignment vertical="center"/>
    </xf>
    <xf numFmtId="0" fontId="20" fillId="0" borderId="75" xfId="0" applyFont="1" applyBorder="1" applyAlignment="1">
      <alignment vertical="center"/>
    </xf>
    <xf numFmtId="43" fontId="20" fillId="0" borderId="87" xfId="36" applyFont="1" applyBorder="1" applyAlignment="1">
      <alignment vertical="center"/>
    </xf>
    <xf numFmtId="0" fontId="81" fillId="0" borderId="87" xfId="0" applyFont="1" applyBorder="1" applyAlignment="1" quotePrefix="1">
      <alignment horizontal="center" vertical="center"/>
    </xf>
    <xf numFmtId="43" fontId="4" fillId="0" borderId="10" xfId="36" applyFont="1" applyBorder="1" applyAlignment="1">
      <alignment vertical="center"/>
    </xf>
    <xf numFmtId="43" fontId="4" fillId="0" borderId="88" xfId="36" applyFont="1" applyBorder="1" applyAlignment="1">
      <alignment vertical="center"/>
    </xf>
    <xf numFmtId="0" fontId="3" fillId="0" borderId="12" xfId="0" applyFont="1" applyBorder="1" applyAlignment="1">
      <alignment/>
    </xf>
    <xf numFmtId="43" fontId="3" fillId="0" borderId="14" xfId="36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43" fontId="85" fillId="0" borderId="0" xfId="36" applyFont="1" applyFill="1" applyBorder="1" applyAlignment="1">
      <alignment vertical="center"/>
    </xf>
    <xf numFmtId="0" fontId="81" fillId="0" borderId="14" xfId="0" applyFont="1" applyBorder="1" applyAlignment="1">
      <alignment vertical="center"/>
    </xf>
    <xf numFmtId="43" fontId="4" fillId="0" borderId="12" xfId="36" applyFont="1" applyFill="1" applyBorder="1" applyAlignment="1">
      <alignment vertical="center"/>
    </xf>
    <xf numFmtId="43" fontId="3" fillId="0" borderId="14" xfId="36" applyFont="1" applyBorder="1" applyAlignment="1">
      <alignment vertical="center"/>
    </xf>
    <xf numFmtId="43" fontId="3" fillId="0" borderId="87" xfId="36" applyFont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43" fontId="3" fillId="0" borderId="89" xfId="36" applyFont="1" applyBorder="1" applyAlignment="1">
      <alignment vertical="center"/>
    </xf>
    <xf numFmtId="49" fontId="81" fillId="0" borderId="31" xfId="0" applyNumberFormat="1" applyFont="1" applyBorder="1" applyAlignment="1">
      <alignment horizontal="center" vertical="center"/>
    </xf>
    <xf numFmtId="49" fontId="81" fillId="0" borderId="0" xfId="0" applyNumberFormat="1" applyFont="1" applyBorder="1" applyAlignment="1">
      <alignment horizontal="center" vertical="center"/>
    </xf>
    <xf numFmtId="43" fontId="4" fillId="0" borderId="90" xfId="36" applyFont="1" applyBorder="1" applyAlignment="1">
      <alignment vertical="center"/>
    </xf>
    <xf numFmtId="0" fontId="7" fillId="33" borderId="91" xfId="0" applyFont="1" applyFill="1" applyBorder="1" applyAlignment="1">
      <alignment/>
    </xf>
    <xf numFmtId="43" fontId="7" fillId="33" borderId="14" xfId="36" applyFont="1" applyFill="1" applyBorder="1" applyAlignment="1">
      <alignment/>
    </xf>
    <xf numFmtId="43" fontId="7" fillId="33" borderId="92" xfId="36" applyFont="1" applyFill="1" applyBorder="1" applyAlignment="1">
      <alignment/>
    </xf>
    <xf numFmtId="0" fontId="3" fillId="0" borderId="93" xfId="0" applyFont="1" applyBorder="1" applyAlignment="1">
      <alignment vertical="center"/>
    </xf>
    <xf numFmtId="43" fontId="7" fillId="0" borderId="83" xfId="0" applyNumberFormat="1" applyFont="1" applyBorder="1" applyAlignment="1">
      <alignment/>
    </xf>
    <xf numFmtId="43" fontId="4" fillId="0" borderId="94" xfId="0" applyNumberFormat="1" applyFont="1" applyBorder="1" applyAlignment="1">
      <alignment/>
    </xf>
    <xf numFmtId="0" fontId="11" fillId="0" borderId="12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4" fillId="0" borderId="95" xfId="0" applyFont="1" applyBorder="1" applyAlignment="1">
      <alignment horizontal="center" vertical="center"/>
    </xf>
    <xf numFmtId="0" fontId="3" fillId="35" borderId="0" xfId="0" applyFont="1" applyFill="1" applyBorder="1" applyAlignment="1" quotePrefix="1">
      <alignment horizontal="center" vertical="center"/>
    </xf>
    <xf numFmtId="43" fontId="3" fillId="0" borderId="30" xfId="36" applyFont="1" applyBorder="1" applyAlignment="1">
      <alignment vertical="center"/>
    </xf>
    <xf numFmtId="0" fontId="3" fillId="0" borderId="30" xfId="0" applyFont="1" applyBorder="1" applyAlignment="1">
      <alignment/>
    </xf>
    <xf numFmtId="4" fontId="3" fillId="0" borderId="30" xfId="0" applyNumberFormat="1" applyFont="1" applyBorder="1" applyAlignment="1">
      <alignment/>
    </xf>
    <xf numFmtId="43" fontId="81" fillId="0" borderId="30" xfId="36" applyFont="1" applyBorder="1" applyAlignment="1">
      <alignment vertical="center"/>
    </xf>
    <xf numFmtId="43" fontId="4" fillId="35" borderId="35" xfId="36" applyFont="1" applyFill="1" applyBorder="1" applyAlignment="1">
      <alignment vertical="center"/>
    </xf>
    <xf numFmtId="43" fontId="81" fillId="0" borderId="35" xfId="36" applyFont="1" applyBorder="1" applyAlignment="1">
      <alignment vertical="center"/>
    </xf>
    <xf numFmtId="0" fontId="4" fillId="35" borderId="33" xfId="0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right"/>
    </xf>
    <xf numFmtId="0" fontId="3" fillId="0" borderId="40" xfId="0" applyFont="1" applyBorder="1" applyAlignment="1" quotePrefix="1">
      <alignment horizontal="center" vertical="center"/>
    </xf>
    <xf numFmtId="0" fontId="3" fillId="0" borderId="34" xfId="0" applyFont="1" applyBorder="1" applyAlignment="1">
      <alignment horizontal="center"/>
    </xf>
    <xf numFmtId="43" fontId="3" fillId="0" borderId="35" xfId="36" applyFont="1" applyBorder="1" applyAlignment="1">
      <alignment/>
    </xf>
    <xf numFmtId="49" fontId="81" fillId="0" borderId="96" xfId="0" applyNumberFormat="1" applyFont="1" applyBorder="1" applyAlignment="1">
      <alignment horizontal="center"/>
    </xf>
    <xf numFmtId="43" fontId="3" fillId="0" borderId="97" xfId="36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2" fontId="3" fillId="0" borderId="30" xfId="0" applyNumberFormat="1" applyFont="1" applyBorder="1" applyAlignment="1">
      <alignment/>
    </xf>
    <xf numFmtId="43" fontId="3" fillId="0" borderId="30" xfId="36" applyFont="1" applyBorder="1" applyAlignment="1">
      <alignment horizontal="right"/>
    </xf>
    <xf numFmtId="2" fontId="3" fillId="0" borderId="0" xfId="0" applyNumberFormat="1" applyFont="1" applyAlignment="1">
      <alignment/>
    </xf>
    <xf numFmtId="43" fontId="87" fillId="0" borderId="0" xfId="36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43" fontId="81" fillId="0" borderId="21" xfId="36" applyFont="1" applyFill="1" applyBorder="1" applyAlignment="1">
      <alignment vertical="center"/>
    </xf>
    <xf numFmtId="43" fontId="3" fillId="0" borderId="21" xfId="36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7" fillId="0" borderId="72" xfId="0" applyFont="1" applyBorder="1" applyAlignment="1">
      <alignment/>
    </xf>
    <xf numFmtId="49" fontId="11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7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3" fontId="0" fillId="0" borderId="0" xfId="36" applyFont="1" applyAlignment="1">
      <alignment/>
    </xf>
    <xf numFmtId="49" fontId="3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43" fontId="4" fillId="35" borderId="0" xfId="36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34" xfId="0" applyBorder="1" applyAlignment="1">
      <alignment/>
    </xf>
    <xf numFmtId="0" fontId="4" fillId="35" borderId="95" xfId="0" applyFont="1" applyFill="1" applyBorder="1" applyAlignment="1">
      <alignment horizontal="left" vertical="center"/>
    </xf>
    <xf numFmtId="0" fontId="4" fillId="35" borderId="26" xfId="0" applyFont="1" applyFill="1" applyBorder="1" applyAlignment="1">
      <alignment horizontal="center" vertical="center"/>
    </xf>
    <xf numFmtId="43" fontId="4" fillId="35" borderId="28" xfId="36" applyFont="1" applyFill="1" applyBorder="1" applyAlignment="1">
      <alignment vertical="center"/>
    </xf>
    <xf numFmtId="43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98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8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9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3" fillId="0" borderId="6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4" fillId="0" borderId="99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4" fillId="35" borderId="100" xfId="0" applyFont="1" applyFill="1" applyBorder="1" applyAlignment="1">
      <alignment horizontal="center" vertical="center"/>
    </xf>
    <xf numFmtId="0" fontId="4" fillId="35" borderId="101" xfId="0" applyFont="1" applyFill="1" applyBorder="1" applyAlignment="1">
      <alignment horizontal="center" vertical="center"/>
    </xf>
    <xf numFmtId="0" fontId="4" fillId="35" borderId="102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9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85" fillId="0" borderId="99" xfId="0" applyFont="1" applyBorder="1" applyAlignment="1">
      <alignment horizontal="center" vertical="center"/>
    </xf>
    <xf numFmtId="0" fontId="85" fillId="0" borderId="91" xfId="0" applyFont="1" applyBorder="1" applyAlignment="1">
      <alignment horizontal="center" vertical="center"/>
    </xf>
    <xf numFmtId="43" fontId="4" fillId="0" borderId="0" xfId="36" applyFont="1" applyAlignment="1">
      <alignment horizontal="right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" fillId="0" borderId="0" xfId="36" applyFont="1" applyBorder="1" applyAlignment="1">
      <alignment horizontal="left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63" xfId="0" applyFont="1" applyFill="1" applyBorder="1" applyAlignment="1">
      <alignment horizontal="left" vertical="center"/>
    </xf>
    <xf numFmtId="0" fontId="3" fillId="0" borderId="80" xfId="0" applyFont="1" applyFill="1" applyBorder="1" applyAlignment="1">
      <alignment horizontal="left" vertical="center"/>
    </xf>
    <xf numFmtId="0" fontId="3" fillId="0" borderId="10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1" fillId="0" borderId="75" xfId="0" applyFont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7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79" fillId="0" borderId="0" xfId="0" applyFont="1" applyAlignment="1">
      <alignment horizontal="center"/>
    </xf>
    <xf numFmtId="189" fontId="5" fillId="0" borderId="12" xfId="0" applyNumberFormat="1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left" vertical="center"/>
    </xf>
    <xf numFmtId="189" fontId="5" fillId="0" borderId="14" xfId="0" applyNumberFormat="1" applyFont="1" applyBorder="1" applyAlignment="1">
      <alignment horizontal="left" vertical="center"/>
    </xf>
    <xf numFmtId="189" fontId="16" fillId="0" borderId="12" xfId="0" applyNumberFormat="1" applyFont="1" applyBorder="1" applyAlignment="1">
      <alignment horizontal="left" vertical="center" wrapText="1"/>
    </xf>
    <xf numFmtId="189" fontId="16" fillId="0" borderId="0" xfId="0" applyNumberFormat="1" applyFont="1" applyBorder="1" applyAlignment="1">
      <alignment horizontal="left" vertical="center" wrapText="1"/>
    </xf>
    <xf numFmtId="189" fontId="16" fillId="0" borderId="14" xfId="0" applyNumberFormat="1" applyFont="1" applyBorder="1" applyAlignment="1">
      <alignment horizontal="left" vertical="center" wrapText="1"/>
    </xf>
    <xf numFmtId="43" fontId="5" fillId="0" borderId="0" xfId="36" applyFont="1" applyAlignment="1">
      <alignment horizontal="center" vertical="center"/>
    </xf>
    <xf numFmtId="188" fontId="6" fillId="0" borderId="104" xfId="36" applyNumberFormat="1" applyFont="1" applyBorder="1" applyAlignment="1">
      <alignment horizontal="center" vertical="center"/>
    </xf>
    <xf numFmtId="188" fontId="6" fillId="0" borderId="105" xfId="36" applyNumberFormat="1" applyFont="1" applyBorder="1" applyAlignment="1">
      <alignment horizontal="center" vertical="center"/>
    </xf>
    <xf numFmtId="188" fontId="6" fillId="0" borderId="106" xfId="36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 wrapText="1" shrinkToFit="1"/>
    </xf>
    <xf numFmtId="0" fontId="31" fillId="0" borderId="0" xfId="0" applyFont="1" applyBorder="1" applyAlignment="1">
      <alignment horizontal="left" vertical="center" wrapText="1" shrinkToFit="1"/>
    </xf>
    <xf numFmtId="0" fontId="31" fillId="0" borderId="14" xfId="0" applyFont="1" applyBorder="1" applyAlignment="1">
      <alignment horizontal="left" vertical="center" wrapText="1" shrinkToFit="1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88" fontId="6" fillId="0" borderId="107" xfId="36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5" fillId="33" borderId="13" xfId="36" applyFont="1" applyFill="1" applyBorder="1" applyAlignment="1">
      <alignment horizontal="center" vertical="center"/>
    </xf>
    <xf numFmtId="43" fontId="5" fillId="33" borderId="11" xfId="36" applyFont="1" applyFill="1" applyBorder="1" applyAlignment="1">
      <alignment horizontal="center" vertical="center"/>
    </xf>
    <xf numFmtId="189" fontId="6" fillId="0" borderId="0" xfId="0" applyNumberFormat="1" applyFont="1" applyBorder="1" applyAlignment="1">
      <alignment horizontal="center" vertical="center"/>
    </xf>
    <xf numFmtId="189" fontId="6" fillId="0" borderId="0" xfId="0" applyNumberFormat="1" applyFont="1" applyBorder="1" applyAlignment="1">
      <alignment horizontal="left" vertical="center"/>
    </xf>
    <xf numFmtId="189" fontId="6" fillId="0" borderId="19" xfId="0" applyNumberFormat="1" applyFont="1" applyBorder="1" applyAlignment="1">
      <alignment horizontal="center" vertical="center"/>
    </xf>
    <xf numFmtId="188" fontId="6" fillId="33" borderId="12" xfId="36" applyNumberFormat="1" applyFont="1" applyFill="1" applyBorder="1" applyAlignment="1">
      <alignment horizontal="center" vertical="center"/>
    </xf>
    <xf numFmtId="188" fontId="6" fillId="33" borderId="109" xfId="36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7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4" borderId="7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63" xfId="0" applyNumberFormat="1" applyFont="1" applyBorder="1" applyAlignment="1">
      <alignment horizontal="left" vertical="center"/>
    </xf>
    <xf numFmtId="49" fontId="17" fillId="0" borderId="31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17" fillId="0" borderId="63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43" fontId="3" fillId="0" borderId="31" xfId="36" applyFont="1" applyBorder="1" applyAlignment="1">
      <alignment horizontal="left" vertical="center" shrinkToFit="1"/>
    </xf>
    <xf numFmtId="43" fontId="3" fillId="0" borderId="0" xfId="36" applyFont="1" applyBorder="1" applyAlignment="1">
      <alignment horizontal="left" vertical="center" shrinkToFit="1"/>
    </xf>
    <xf numFmtId="43" fontId="3" fillId="0" borderId="63" xfId="36" applyFont="1" applyBorder="1" applyAlignment="1">
      <alignment horizontal="left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6</xdr:col>
      <xdr:colOff>600075</xdr:colOff>
      <xdr:row>6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7915275" y="1219200"/>
          <a:ext cx="581025" cy="2095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6</xdr:col>
      <xdr:colOff>590550</xdr:colOff>
      <xdr:row>9</xdr:row>
      <xdr:rowOff>9525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7924800" y="1666875"/>
          <a:ext cx="571500" cy="4857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28575</xdr:rowOff>
    </xdr:from>
    <xdr:to>
      <xdr:col>6</xdr:col>
      <xdr:colOff>590550</xdr:colOff>
      <xdr:row>11</xdr:row>
      <xdr:rowOff>0</xdr:rowOff>
    </xdr:to>
    <xdr:sp>
      <xdr:nvSpPr>
        <xdr:cNvPr id="3" name="วงเล็บปีกกาขวา 3"/>
        <xdr:cNvSpPr>
          <a:spLocks/>
        </xdr:cNvSpPr>
      </xdr:nvSpPr>
      <xdr:spPr>
        <a:xfrm>
          <a:off x="7915275" y="2409825"/>
          <a:ext cx="571500" cy="2095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28575</xdr:rowOff>
    </xdr:from>
    <xdr:to>
      <xdr:col>6</xdr:col>
      <xdr:colOff>342900</xdr:colOff>
      <xdr:row>10</xdr:row>
      <xdr:rowOff>9525</xdr:rowOff>
    </xdr:to>
    <xdr:sp>
      <xdr:nvSpPr>
        <xdr:cNvPr id="4" name="วงเล็บปีกกาขวา 4"/>
        <xdr:cNvSpPr>
          <a:spLocks/>
        </xdr:cNvSpPr>
      </xdr:nvSpPr>
      <xdr:spPr>
        <a:xfrm>
          <a:off x="7915275" y="2171700"/>
          <a:ext cx="323850" cy="2190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85725</xdr:rowOff>
    </xdr:from>
    <xdr:to>
      <xdr:col>6</xdr:col>
      <xdr:colOff>600075</xdr:colOff>
      <xdr:row>12</xdr:row>
      <xdr:rowOff>0</xdr:rowOff>
    </xdr:to>
    <xdr:sp>
      <xdr:nvSpPr>
        <xdr:cNvPr id="5" name="วงเล็บปีกกาขวา 5"/>
        <xdr:cNvSpPr>
          <a:spLocks/>
        </xdr:cNvSpPr>
      </xdr:nvSpPr>
      <xdr:spPr>
        <a:xfrm>
          <a:off x="7915275" y="2705100"/>
          <a:ext cx="581025" cy="1524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161925</xdr:rowOff>
    </xdr:from>
    <xdr:to>
      <xdr:col>6</xdr:col>
      <xdr:colOff>600075</xdr:colOff>
      <xdr:row>14</xdr:row>
      <xdr:rowOff>9525</xdr:rowOff>
    </xdr:to>
    <xdr:sp>
      <xdr:nvSpPr>
        <xdr:cNvPr id="6" name="วงเล็บปีกกาขวา 5"/>
        <xdr:cNvSpPr>
          <a:spLocks/>
        </xdr:cNvSpPr>
      </xdr:nvSpPr>
      <xdr:spPr>
        <a:xfrm>
          <a:off x="7915275" y="3257550"/>
          <a:ext cx="581025" cy="857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28575</xdr:rowOff>
    </xdr:from>
    <xdr:to>
      <xdr:col>6</xdr:col>
      <xdr:colOff>600075</xdr:colOff>
      <xdr:row>15</xdr:row>
      <xdr:rowOff>0</xdr:rowOff>
    </xdr:to>
    <xdr:sp>
      <xdr:nvSpPr>
        <xdr:cNvPr id="7" name="วงเล็บปีกกาขวา 5"/>
        <xdr:cNvSpPr>
          <a:spLocks/>
        </xdr:cNvSpPr>
      </xdr:nvSpPr>
      <xdr:spPr>
        <a:xfrm>
          <a:off x="7915275" y="3362325"/>
          <a:ext cx="581025" cy="2095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581025</xdr:colOff>
      <xdr:row>19</xdr:row>
      <xdr:rowOff>209550</xdr:rowOff>
    </xdr:to>
    <xdr:sp>
      <xdr:nvSpPr>
        <xdr:cNvPr id="8" name="วงเล็บปีกกาขวา 5"/>
        <xdr:cNvSpPr>
          <a:spLocks/>
        </xdr:cNvSpPr>
      </xdr:nvSpPr>
      <xdr:spPr>
        <a:xfrm>
          <a:off x="7896225" y="4286250"/>
          <a:ext cx="581025" cy="4476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19050</xdr:rowOff>
    </xdr:from>
    <xdr:to>
      <xdr:col>4</xdr:col>
      <xdr:colOff>142875</xdr:colOff>
      <xdr:row>10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7686675" y="1219200"/>
          <a:ext cx="133350" cy="11239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0</xdr:rowOff>
    </xdr:from>
    <xdr:to>
      <xdr:col>4</xdr:col>
      <xdr:colOff>209550</xdr:colOff>
      <xdr:row>24</xdr:row>
      <xdr:rowOff>228600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7715250" y="3257550"/>
          <a:ext cx="161925" cy="25146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8</xdr:row>
      <xdr:rowOff>171450</xdr:rowOff>
    </xdr:from>
    <xdr:to>
      <xdr:col>10</xdr:col>
      <xdr:colOff>266700</xdr:colOff>
      <xdr:row>15</xdr:row>
      <xdr:rowOff>142875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7839075" y="1695450"/>
          <a:ext cx="66675" cy="14382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1152525</xdr:colOff>
      <xdr:row>75</xdr:row>
      <xdr:rowOff>19050</xdr:rowOff>
    </xdr:from>
    <xdr:to>
      <xdr:col>11</xdr:col>
      <xdr:colOff>323850</xdr:colOff>
      <xdr:row>88</xdr:row>
      <xdr:rowOff>19050</xdr:rowOff>
    </xdr:to>
    <xdr:sp>
      <xdr:nvSpPr>
        <xdr:cNvPr id="2" name="วงเล็บปีกกาขวา 4"/>
        <xdr:cNvSpPr>
          <a:spLocks/>
        </xdr:cNvSpPr>
      </xdr:nvSpPr>
      <xdr:spPr>
        <a:xfrm>
          <a:off x="8791575" y="13373100"/>
          <a:ext cx="333375" cy="27241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98</xdr:row>
      <xdr:rowOff>9525</xdr:rowOff>
    </xdr:from>
    <xdr:to>
      <xdr:col>11</xdr:col>
      <xdr:colOff>57150</xdr:colOff>
      <xdr:row>107</xdr:row>
      <xdr:rowOff>200025</xdr:rowOff>
    </xdr:to>
    <xdr:sp>
      <xdr:nvSpPr>
        <xdr:cNvPr id="3" name="วงเล็บปีกกาขวา 4"/>
        <xdr:cNvSpPr>
          <a:spLocks/>
        </xdr:cNvSpPr>
      </xdr:nvSpPr>
      <xdr:spPr>
        <a:xfrm>
          <a:off x="8801100" y="18183225"/>
          <a:ext cx="57150" cy="12477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1\PU\&#3591;&#3610;&#3611;&#3619;&#3632;&#3617;&#3634;&#3603;%202558\&#3591;&#3610;&#3648;&#3604;&#3639;&#3629;&#3609;\12.&#3585;.&#3618;..57\&#3591;&#3610;&#3648;&#3604;&#3639;&#3629;&#3609;&#3585;.&#3618;.2557(20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รายการ 1 "/>
      <sheetName val="ใบผ่านรายการ  2"/>
      <sheetName val="ใบผ่านทั่วไป"/>
      <sheetName val="งบทดลอง "/>
      <sheetName val="กระดาษทำการ"/>
      <sheetName val="รับ-จ่าย"/>
      <sheetName val="รับ-จ่าย 1"/>
      <sheetName val="งบกระแส"/>
      <sheetName val="งบกระแส 1"/>
      <sheetName val="หมายเหตุ2"/>
      <sheetName val="หมายเหตุ3"/>
      <sheetName val="งบกระทบยอด "/>
      <sheetName val="รายงาน ฉก"/>
      <sheetName val="แบบรายงานเงินฝาก"/>
    </sheetNames>
    <sheetDataSet>
      <sheetData sheetId="5">
        <row r="27">
          <cell r="I27">
            <v>0</v>
          </cell>
        </row>
        <row r="61">
          <cell r="I61">
            <v>0</v>
          </cell>
        </row>
        <row r="62">
          <cell r="I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43"/>
  <sheetViews>
    <sheetView view="pageBreakPreview" zoomScaleNormal="110" zoomScaleSheetLayoutView="100" zoomScalePageLayoutView="0" workbookViewId="0" topLeftCell="A22">
      <selection activeCell="I25" sqref="I25"/>
    </sheetView>
  </sheetViews>
  <sheetFormatPr defaultColWidth="9.140625" defaultRowHeight="21.75"/>
  <cols>
    <col min="1" max="1" width="8.57421875" style="139" customWidth="1"/>
    <col min="2" max="2" width="24.421875" style="139" customWidth="1"/>
    <col min="3" max="3" width="6.421875" style="139" customWidth="1"/>
    <col min="4" max="4" width="5.28125" style="139" customWidth="1"/>
    <col min="5" max="5" width="15.421875" style="139" customWidth="1"/>
    <col min="6" max="6" width="10.421875" style="139" customWidth="1"/>
    <col min="7" max="7" width="18.57421875" style="139" customWidth="1"/>
    <col min="8" max="8" width="18.57421875" style="146" customWidth="1"/>
    <col min="9" max="9" width="15.8515625" style="139" customWidth="1"/>
    <col min="10" max="10" width="12.7109375" style="139" bestFit="1" customWidth="1"/>
    <col min="11" max="11" width="14.00390625" style="139" bestFit="1" customWidth="1"/>
    <col min="12" max="16384" width="9.140625" style="139" customWidth="1"/>
  </cols>
  <sheetData>
    <row r="1" spans="5:9" ht="19.5" customHeight="1">
      <c r="E1" s="140"/>
      <c r="F1" s="140"/>
      <c r="H1" s="141" t="s">
        <v>610</v>
      </c>
      <c r="I1" s="140"/>
    </row>
    <row r="2" spans="3:9" ht="19.5" customHeight="1">
      <c r="C2" s="142"/>
      <c r="D2" s="142"/>
      <c r="E2" s="142"/>
      <c r="F2" s="756" t="s">
        <v>742</v>
      </c>
      <c r="G2" s="756"/>
      <c r="H2" s="756"/>
      <c r="I2" s="143"/>
    </row>
    <row r="3" spans="1:9" ht="19.5" customHeight="1">
      <c r="A3" s="754" t="s">
        <v>352</v>
      </c>
      <c r="B3" s="755"/>
      <c r="C3" s="755"/>
      <c r="D3" s="755"/>
      <c r="E3" s="755"/>
      <c r="F3" s="755"/>
      <c r="G3" s="755"/>
      <c r="H3" s="755"/>
      <c r="I3" s="144"/>
    </row>
    <row r="4" ht="19.5" customHeight="1" thickBot="1">
      <c r="A4" s="145" t="s">
        <v>378</v>
      </c>
    </row>
    <row r="5" spans="1:8" ht="19.5" customHeight="1" thickBot="1">
      <c r="A5" s="757" t="s">
        <v>52</v>
      </c>
      <c r="B5" s="758"/>
      <c r="C5" s="758"/>
      <c r="D5" s="758"/>
      <c r="E5" s="148"/>
      <c r="F5" s="147" t="s">
        <v>47</v>
      </c>
      <c r="G5" s="149" t="s">
        <v>9</v>
      </c>
      <c r="H5" s="150" t="s">
        <v>10</v>
      </c>
    </row>
    <row r="6" spans="1:9" ht="19.5" customHeight="1">
      <c r="A6" s="151" t="s">
        <v>78</v>
      </c>
      <c r="B6" s="152"/>
      <c r="C6" s="152"/>
      <c r="D6" s="152"/>
      <c r="E6" s="152"/>
      <c r="F6" s="153" t="s">
        <v>240</v>
      </c>
      <c r="G6" s="154">
        <v>8854.6</v>
      </c>
      <c r="H6" s="154">
        <v>8854.6</v>
      </c>
      <c r="I6" s="155">
        <f>+G6-H6</f>
        <v>0</v>
      </c>
    </row>
    <row r="7" spans="1:8" ht="19.5" customHeight="1">
      <c r="A7" s="156" t="s">
        <v>129</v>
      </c>
      <c r="B7" s="152"/>
      <c r="C7" s="152"/>
      <c r="D7" s="152"/>
      <c r="E7" s="152"/>
      <c r="F7" s="153" t="s">
        <v>241</v>
      </c>
      <c r="G7" s="154">
        <v>3361885.32</v>
      </c>
      <c r="H7" s="154"/>
    </row>
    <row r="8" spans="1:8" ht="19.5" customHeight="1">
      <c r="A8" s="156" t="s">
        <v>100</v>
      </c>
      <c r="B8" s="152"/>
      <c r="C8" s="152"/>
      <c r="D8" s="152"/>
      <c r="E8" s="152"/>
      <c r="F8" s="153" t="s">
        <v>242</v>
      </c>
      <c r="G8" s="154">
        <v>145068.03</v>
      </c>
      <c r="H8" s="154"/>
    </row>
    <row r="9" spans="1:8" ht="19.5" customHeight="1">
      <c r="A9" s="157" t="s">
        <v>225</v>
      </c>
      <c r="B9" s="152"/>
      <c r="C9" s="152"/>
      <c r="D9" s="152"/>
      <c r="E9" s="152"/>
      <c r="F9" s="153" t="s">
        <v>243</v>
      </c>
      <c r="G9" s="154">
        <v>0</v>
      </c>
      <c r="H9" s="154"/>
    </row>
    <row r="10" spans="1:8" ht="19.5" customHeight="1">
      <c r="A10" s="157" t="s">
        <v>151</v>
      </c>
      <c r="B10" s="152"/>
      <c r="C10" s="152"/>
      <c r="D10" s="152"/>
      <c r="E10" s="152"/>
      <c r="F10" s="153" t="s">
        <v>239</v>
      </c>
      <c r="G10" s="154">
        <v>0</v>
      </c>
      <c r="H10" s="154"/>
    </row>
    <row r="11" spans="1:8" ht="19.5" customHeight="1">
      <c r="A11" s="157" t="s">
        <v>152</v>
      </c>
      <c r="B11" s="152"/>
      <c r="C11" s="152"/>
      <c r="D11" s="152"/>
      <c r="E11" s="152"/>
      <c r="F11" s="153" t="s">
        <v>244</v>
      </c>
      <c r="G11" s="154">
        <v>0</v>
      </c>
      <c r="H11" s="154"/>
    </row>
    <row r="12" spans="1:8" ht="19.5" customHeight="1">
      <c r="A12" s="160" t="s">
        <v>157</v>
      </c>
      <c r="B12" s="152"/>
      <c r="C12" s="152"/>
      <c r="D12" s="152"/>
      <c r="E12" s="152"/>
      <c r="F12" s="153" t="s">
        <v>190</v>
      </c>
      <c r="G12" s="154">
        <v>0</v>
      </c>
      <c r="H12" s="154"/>
    </row>
    <row r="13" spans="1:10" ht="19.5" customHeight="1">
      <c r="A13" s="156"/>
      <c r="B13" s="152" t="s">
        <v>6</v>
      </c>
      <c r="C13" s="152"/>
      <c r="D13" s="152"/>
      <c r="E13" s="152"/>
      <c r="F13" s="153" t="s">
        <v>191</v>
      </c>
      <c r="G13" s="154"/>
      <c r="H13" s="154">
        <v>3463171.18</v>
      </c>
      <c r="J13" s="155"/>
    </row>
    <row r="14" spans="1:10" ht="19.5" customHeight="1">
      <c r="A14" s="156"/>
      <c r="B14" s="152" t="s">
        <v>249</v>
      </c>
      <c r="C14" s="152"/>
      <c r="D14" s="152"/>
      <c r="E14" s="152"/>
      <c r="F14" s="153" t="s">
        <v>250</v>
      </c>
      <c r="G14" s="154"/>
      <c r="H14" s="154">
        <v>0</v>
      </c>
      <c r="J14" s="155"/>
    </row>
    <row r="15" spans="1:10" ht="19.5" customHeight="1">
      <c r="A15" s="156"/>
      <c r="B15" s="152" t="s">
        <v>371</v>
      </c>
      <c r="C15" s="152"/>
      <c r="D15" s="152"/>
      <c r="E15" s="152"/>
      <c r="F15" s="153" t="s">
        <v>372</v>
      </c>
      <c r="G15" s="154"/>
      <c r="H15" s="154">
        <v>0</v>
      </c>
      <c r="J15" s="155"/>
    </row>
    <row r="16" spans="1:8" ht="19.5" customHeight="1">
      <c r="A16" s="156"/>
      <c r="B16" s="152" t="s">
        <v>353</v>
      </c>
      <c r="C16" s="152"/>
      <c r="D16" s="152"/>
      <c r="E16" s="152"/>
      <c r="F16" s="153" t="s">
        <v>237</v>
      </c>
      <c r="G16" s="154">
        <v>0</v>
      </c>
      <c r="H16" s="154">
        <v>3750</v>
      </c>
    </row>
    <row r="17" spans="1:11" ht="19.5" customHeight="1">
      <c r="A17" s="156"/>
      <c r="B17" s="152" t="s">
        <v>355</v>
      </c>
      <c r="C17" s="152"/>
      <c r="D17" s="152"/>
      <c r="E17" s="152"/>
      <c r="F17" s="153" t="s">
        <v>354</v>
      </c>
      <c r="G17" s="154">
        <v>0</v>
      </c>
      <c r="H17" s="154">
        <v>0</v>
      </c>
      <c r="K17" s="155"/>
    </row>
    <row r="18" spans="1:11" ht="19.5" customHeight="1">
      <c r="A18" s="156"/>
      <c r="B18" s="759" t="s">
        <v>150</v>
      </c>
      <c r="C18" s="759"/>
      <c r="D18" s="759"/>
      <c r="E18" s="760"/>
      <c r="F18" s="153" t="s">
        <v>245</v>
      </c>
      <c r="G18" s="154">
        <v>0</v>
      </c>
      <c r="H18" s="154">
        <v>32.17</v>
      </c>
      <c r="K18" s="155"/>
    </row>
    <row r="19" spans="1:11" ht="19.5" customHeight="1">
      <c r="A19" s="156"/>
      <c r="B19" s="152" t="s">
        <v>149</v>
      </c>
      <c r="C19" s="152"/>
      <c r="D19" s="152"/>
      <c r="E19" s="152"/>
      <c r="F19" s="153" t="s">
        <v>238</v>
      </c>
      <c r="G19" s="154">
        <v>0</v>
      </c>
      <c r="H19" s="154">
        <v>0</v>
      </c>
      <c r="I19" s="139" t="s">
        <v>153</v>
      </c>
      <c r="J19" s="155"/>
      <c r="K19" s="155"/>
    </row>
    <row r="20" spans="1:11" ht="19.5" customHeight="1">
      <c r="A20" s="156"/>
      <c r="B20" s="152" t="s">
        <v>173</v>
      </c>
      <c r="C20" s="152"/>
      <c r="D20" s="152"/>
      <c r="E20" s="152"/>
      <c r="F20" s="153" t="s">
        <v>331</v>
      </c>
      <c r="G20" s="154">
        <v>0</v>
      </c>
      <c r="H20" s="154">
        <v>0</v>
      </c>
      <c r="I20" s="155">
        <f>SUM(H16:H27)</f>
        <v>43782.17</v>
      </c>
      <c r="K20" s="155"/>
    </row>
    <row r="21" spans="1:11" ht="19.5" customHeight="1">
      <c r="A21" s="156"/>
      <c r="B21" s="152" t="s">
        <v>228</v>
      </c>
      <c r="C21" s="152"/>
      <c r="D21" s="152"/>
      <c r="E21" s="152"/>
      <c r="F21" s="153" t="s">
        <v>246</v>
      </c>
      <c r="G21" s="154">
        <v>0</v>
      </c>
      <c r="H21" s="154">
        <v>0</v>
      </c>
      <c r="I21" s="155"/>
      <c r="K21" s="155"/>
    </row>
    <row r="22" spans="1:11" ht="19.5" customHeight="1">
      <c r="A22" s="156"/>
      <c r="B22" s="152" t="s">
        <v>657</v>
      </c>
      <c r="C22" s="152"/>
      <c r="D22" s="152"/>
      <c r="E22" s="152"/>
      <c r="F22" s="153" t="s">
        <v>656</v>
      </c>
      <c r="G22" s="154">
        <v>0</v>
      </c>
      <c r="H22" s="154">
        <v>0</v>
      </c>
      <c r="I22" s="155"/>
      <c r="K22" s="155"/>
    </row>
    <row r="23" spans="1:11" ht="19.5" customHeight="1" hidden="1">
      <c r="A23" s="156"/>
      <c r="B23" s="152" t="s">
        <v>389</v>
      </c>
      <c r="C23" s="152"/>
      <c r="D23" s="152"/>
      <c r="E23" s="152"/>
      <c r="F23" s="153" t="s">
        <v>246</v>
      </c>
      <c r="G23" s="154">
        <v>0</v>
      </c>
      <c r="H23" s="154">
        <v>0</v>
      </c>
      <c r="I23" s="155"/>
      <c r="K23" s="155"/>
    </row>
    <row r="24" spans="1:11" ht="19.5" customHeight="1" hidden="1">
      <c r="A24" s="156"/>
      <c r="B24" s="152" t="s">
        <v>364</v>
      </c>
      <c r="C24" s="152"/>
      <c r="D24" s="152"/>
      <c r="E24" s="152"/>
      <c r="F24" s="153" t="s">
        <v>363</v>
      </c>
      <c r="G24" s="154">
        <v>0</v>
      </c>
      <c r="H24" s="154">
        <v>0</v>
      </c>
      <c r="I24" s="155"/>
      <c r="K24" s="155"/>
    </row>
    <row r="25" spans="1:11" ht="19.5" customHeight="1">
      <c r="A25" s="156"/>
      <c r="B25" s="152" t="s">
        <v>394</v>
      </c>
      <c r="C25" s="152"/>
      <c r="D25" s="152"/>
      <c r="E25" s="152"/>
      <c r="F25" s="153" t="s">
        <v>331</v>
      </c>
      <c r="G25" s="154">
        <v>0</v>
      </c>
      <c r="H25" s="154">
        <v>0</v>
      </c>
      <c r="I25" s="155"/>
      <c r="K25" s="155"/>
    </row>
    <row r="26" spans="1:11" ht="19.5" customHeight="1">
      <c r="A26" s="156"/>
      <c r="B26" s="152" t="s">
        <v>207</v>
      </c>
      <c r="C26" s="152"/>
      <c r="D26" s="152"/>
      <c r="E26" s="152"/>
      <c r="F26" s="153" t="s">
        <v>246</v>
      </c>
      <c r="G26" s="154"/>
      <c r="H26" s="154">
        <v>0</v>
      </c>
      <c r="I26" s="155"/>
      <c r="K26" s="155"/>
    </row>
    <row r="27" spans="1:11" ht="19.5" customHeight="1">
      <c r="A27" s="156"/>
      <c r="B27" s="745" t="s">
        <v>743</v>
      </c>
      <c r="C27" s="152"/>
      <c r="D27" s="152"/>
      <c r="E27" s="152"/>
      <c r="F27" s="153" t="s">
        <v>246</v>
      </c>
      <c r="G27" s="154"/>
      <c r="H27" s="154">
        <v>40000</v>
      </c>
      <c r="K27" s="155"/>
    </row>
    <row r="28" spans="1:11" ht="19.5" customHeight="1">
      <c r="A28" s="156"/>
      <c r="B28" s="152" t="s">
        <v>362</v>
      </c>
      <c r="C28" s="152"/>
      <c r="D28" s="152"/>
      <c r="E28" s="152"/>
      <c r="F28" s="161">
        <v>220100</v>
      </c>
      <c r="G28" s="154">
        <v>0</v>
      </c>
      <c r="H28" s="154">
        <v>0</v>
      </c>
      <c r="K28" s="155"/>
    </row>
    <row r="29" spans="1:11" ht="19.5" customHeight="1">
      <c r="A29" s="156"/>
      <c r="B29" s="152" t="s">
        <v>230</v>
      </c>
      <c r="C29" s="152"/>
      <c r="D29" s="152"/>
      <c r="E29" s="152"/>
      <c r="F29" s="161">
        <v>220500</v>
      </c>
      <c r="G29" s="154">
        <v>0</v>
      </c>
      <c r="H29" s="154">
        <v>0</v>
      </c>
      <c r="K29" s="155"/>
    </row>
    <row r="30" spans="1:11" ht="19.5" customHeight="1">
      <c r="A30" s="156"/>
      <c r="B30" s="152" t="s">
        <v>705</v>
      </c>
      <c r="C30" s="152"/>
      <c r="D30" s="152"/>
      <c r="E30" s="152"/>
      <c r="F30" s="161">
        <v>522000</v>
      </c>
      <c r="G30" s="154"/>
      <c r="H30" s="154">
        <v>0</v>
      </c>
      <c r="K30" s="155"/>
    </row>
    <row r="31" spans="1:11" ht="19.5" customHeight="1">
      <c r="A31" s="156"/>
      <c r="B31" s="152" t="s">
        <v>668</v>
      </c>
      <c r="C31" s="152"/>
      <c r="D31" s="152"/>
      <c r="E31" s="152"/>
      <c r="F31" s="161">
        <v>113100</v>
      </c>
      <c r="G31" s="154"/>
      <c r="H31" s="154">
        <v>0</v>
      </c>
      <c r="K31" s="155"/>
    </row>
    <row r="32" spans="1:9" ht="19.5" customHeight="1">
      <c r="A32" s="156"/>
      <c r="B32" s="761" t="s">
        <v>658</v>
      </c>
      <c r="C32" s="761"/>
      <c r="D32" s="761"/>
      <c r="E32" s="762"/>
      <c r="F32" s="153" t="s">
        <v>253</v>
      </c>
      <c r="G32" s="154"/>
      <c r="H32" s="154">
        <v>0</v>
      </c>
      <c r="I32" s="155"/>
    </row>
    <row r="33" spans="1:8" ht="19.5" customHeight="1">
      <c r="A33" s="156"/>
      <c r="B33" s="162" t="s">
        <v>361</v>
      </c>
      <c r="C33" s="162"/>
      <c r="D33" s="162"/>
      <c r="E33" s="162"/>
      <c r="F33" s="153" t="s">
        <v>192</v>
      </c>
      <c r="G33" s="154"/>
      <c r="H33" s="154">
        <v>0</v>
      </c>
    </row>
    <row r="34" spans="1:8" ht="19.5" customHeight="1">
      <c r="A34" s="156"/>
      <c r="B34" s="162" t="s">
        <v>704</v>
      </c>
      <c r="C34" s="162"/>
      <c r="D34" s="162"/>
      <c r="E34" s="162"/>
      <c r="F34" s="153"/>
      <c r="G34" s="154"/>
      <c r="H34" s="154">
        <v>0</v>
      </c>
    </row>
    <row r="35" spans="1:8" ht="19.5" customHeight="1" thickBot="1">
      <c r="A35" s="156"/>
      <c r="B35" s="162" t="s">
        <v>356</v>
      </c>
      <c r="C35" s="162"/>
      <c r="D35" s="162"/>
      <c r="E35" s="162"/>
      <c r="F35" s="153" t="s">
        <v>193</v>
      </c>
      <c r="G35" s="154"/>
      <c r="H35" s="154">
        <v>0</v>
      </c>
    </row>
    <row r="36" spans="1:10" ht="19.5" customHeight="1" thickBot="1">
      <c r="A36" s="163"/>
      <c r="B36" s="164"/>
      <c r="C36" s="165" t="s">
        <v>73</v>
      </c>
      <c r="D36" s="164"/>
      <c r="E36" s="164"/>
      <c r="F36" s="166"/>
      <c r="G36" s="167">
        <f>SUM(G6:G35)</f>
        <v>3515807.9499999997</v>
      </c>
      <c r="H36" s="167">
        <f>SUM(H6:H35)</f>
        <v>3515807.95</v>
      </c>
      <c r="I36" s="155">
        <f>G36-H36</f>
        <v>0</v>
      </c>
      <c r="J36" s="168"/>
    </row>
    <row r="37" ht="19.5" customHeight="1">
      <c r="A37" s="139" t="s">
        <v>744</v>
      </c>
    </row>
    <row r="38" spans="1:8" ht="19.5" customHeight="1">
      <c r="A38" s="763" t="s">
        <v>34</v>
      </c>
      <c r="B38" s="764"/>
      <c r="C38" s="763" t="s">
        <v>569</v>
      </c>
      <c r="D38" s="765"/>
      <c r="E38" s="765"/>
      <c r="F38" s="764"/>
      <c r="G38" s="763" t="s">
        <v>570</v>
      </c>
      <c r="H38" s="764"/>
    </row>
    <row r="39" spans="1:8" ht="19.5" customHeight="1">
      <c r="A39" s="676"/>
      <c r="B39" s="678"/>
      <c r="C39" s="676"/>
      <c r="D39" s="152"/>
      <c r="E39" s="152"/>
      <c r="F39" s="678"/>
      <c r="G39" s="676"/>
      <c r="H39" s="677"/>
    </row>
    <row r="40" spans="1:8" ht="19.5" customHeight="1">
      <c r="A40" s="676"/>
      <c r="B40" s="678"/>
      <c r="C40" s="676"/>
      <c r="D40" s="152"/>
      <c r="E40" s="152"/>
      <c r="F40" s="678"/>
      <c r="G40" s="676"/>
      <c r="H40" s="677"/>
    </row>
    <row r="41" spans="1:8" ht="19.5" customHeight="1">
      <c r="A41" s="746" t="s">
        <v>571</v>
      </c>
      <c r="B41" s="747"/>
      <c r="C41" s="746" t="s">
        <v>624</v>
      </c>
      <c r="D41" s="750"/>
      <c r="E41" s="750"/>
      <c r="F41" s="747"/>
      <c r="G41" s="746" t="s">
        <v>571</v>
      </c>
      <c r="H41" s="747"/>
    </row>
    <row r="42" spans="1:8" ht="19.5" customHeight="1">
      <c r="A42" s="748" t="s">
        <v>572</v>
      </c>
      <c r="B42" s="749"/>
      <c r="C42" s="751" t="s">
        <v>625</v>
      </c>
      <c r="D42" s="752"/>
      <c r="E42" s="752"/>
      <c r="F42" s="753"/>
      <c r="G42" s="748" t="s">
        <v>572</v>
      </c>
      <c r="H42" s="749"/>
    </row>
    <row r="43" ht="19.5" customHeight="1">
      <c r="C43" s="139" t="s">
        <v>53</v>
      </c>
    </row>
  </sheetData>
  <sheetProtection/>
  <mergeCells count="14">
    <mergeCell ref="A3:H3"/>
    <mergeCell ref="F2:H2"/>
    <mergeCell ref="A5:D5"/>
    <mergeCell ref="B18:E18"/>
    <mergeCell ref="B32:E32"/>
    <mergeCell ref="A38:B38"/>
    <mergeCell ref="C38:F38"/>
    <mergeCell ref="G38:H38"/>
    <mergeCell ref="A41:B41"/>
    <mergeCell ref="A42:B42"/>
    <mergeCell ref="C41:F41"/>
    <mergeCell ref="C42:F42"/>
    <mergeCell ref="G41:H41"/>
    <mergeCell ref="G42:H42"/>
  </mergeCells>
  <printOptions horizontalCentered="1"/>
  <pageMargins left="0.1968503937007874" right="0.1968503937007874" top="0.39" bottom="0.3937007874015748" header="0.35433070866141736" footer="0.16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3"/>
  <sheetViews>
    <sheetView view="pageBreakPreview" zoomScaleSheetLayoutView="100" workbookViewId="0" topLeftCell="A29">
      <selection activeCell="C36" sqref="C36"/>
    </sheetView>
  </sheetViews>
  <sheetFormatPr defaultColWidth="9.140625" defaultRowHeight="21.75"/>
  <cols>
    <col min="1" max="1" width="4.00390625" style="415" customWidth="1"/>
    <col min="2" max="2" width="41.00390625" style="415" customWidth="1"/>
    <col min="3" max="4" width="16.7109375" style="456" customWidth="1"/>
    <col min="5" max="5" width="14.140625" style="456" customWidth="1"/>
    <col min="6" max="6" width="13.140625" style="456" customWidth="1"/>
    <col min="7" max="7" width="19.8515625" style="415" customWidth="1"/>
    <col min="8" max="8" width="19.421875" style="415" customWidth="1"/>
    <col min="9" max="9" width="17.00390625" style="415" customWidth="1"/>
    <col min="10" max="11" width="9.140625" style="415" customWidth="1"/>
    <col min="12" max="12" width="12.421875" style="456" bestFit="1" customWidth="1"/>
    <col min="13" max="16384" width="9.140625" style="415" customWidth="1"/>
  </cols>
  <sheetData>
    <row r="1" spans="1:9" ht="23.25">
      <c r="A1" s="553"/>
      <c r="B1" s="554"/>
      <c r="C1" s="554"/>
      <c r="D1" s="554"/>
      <c r="E1" s="555"/>
      <c r="F1" s="556" t="s">
        <v>177</v>
      </c>
      <c r="G1" s="457"/>
      <c r="H1" s="457"/>
      <c r="I1" s="457"/>
    </row>
    <row r="2" spans="1:9" ht="23.25">
      <c r="A2" s="863" t="s">
        <v>113</v>
      </c>
      <c r="B2" s="863"/>
      <c r="C2" s="863"/>
      <c r="D2" s="863"/>
      <c r="E2" s="863"/>
      <c r="F2" s="863"/>
      <c r="G2" s="457"/>
      <c r="H2" s="457"/>
      <c r="I2" s="457"/>
    </row>
    <row r="3" spans="1:9" ht="23.25">
      <c r="A3" s="859" t="s">
        <v>206</v>
      </c>
      <c r="B3" s="859"/>
      <c r="C3" s="859"/>
      <c r="D3" s="859"/>
      <c r="E3" s="859"/>
      <c r="F3" s="859"/>
      <c r="G3" s="457"/>
      <c r="H3" s="457"/>
      <c r="I3" s="457"/>
    </row>
    <row r="4" spans="1:9" ht="23.25">
      <c r="A4" s="860" t="s">
        <v>632</v>
      </c>
      <c r="B4" s="860"/>
      <c r="C4" s="860"/>
      <c r="D4" s="860"/>
      <c r="E4" s="860"/>
      <c r="F4" s="860"/>
      <c r="G4" s="457"/>
      <c r="H4" s="457"/>
      <c r="I4" s="457"/>
    </row>
    <row r="5" spans="1:9" ht="23.25">
      <c r="A5" s="861" t="s">
        <v>141</v>
      </c>
      <c r="B5" s="862"/>
      <c r="C5" s="557" t="s">
        <v>46</v>
      </c>
      <c r="D5" s="557" t="s">
        <v>64</v>
      </c>
      <c r="E5" s="557" t="s">
        <v>65</v>
      </c>
      <c r="F5" s="558" t="s">
        <v>114</v>
      </c>
      <c r="G5" s="457"/>
      <c r="H5" s="457"/>
      <c r="I5" s="457"/>
    </row>
    <row r="6" spans="1:9" ht="71.25">
      <c r="A6" s="559">
        <v>1</v>
      </c>
      <c r="B6" s="560" t="s">
        <v>488</v>
      </c>
      <c r="C6" s="561">
        <v>528103.24</v>
      </c>
      <c r="D6" s="562">
        <v>528103.24</v>
      </c>
      <c r="E6" s="563">
        <f aca="true" t="shared" si="0" ref="E6:E30">+C6-D6</f>
        <v>0</v>
      </c>
      <c r="F6" s="564" t="s">
        <v>607</v>
      </c>
      <c r="G6" s="457"/>
      <c r="H6" s="457"/>
      <c r="I6" s="457"/>
    </row>
    <row r="7" spans="1:9" ht="95.25">
      <c r="A7" s="565">
        <v>2</v>
      </c>
      <c r="B7" s="560" t="s">
        <v>489</v>
      </c>
      <c r="C7" s="562">
        <v>500000</v>
      </c>
      <c r="D7" s="562">
        <v>500000</v>
      </c>
      <c r="E7" s="562">
        <f t="shared" si="0"/>
        <v>0</v>
      </c>
      <c r="F7" s="564" t="s">
        <v>608</v>
      </c>
      <c r="G7" s="457"/>
      <c r="H7" s="457"/>
      <c r="I7" s="457"/>
    </row>
    <row r="8" spans="1:9" ht="71.25">
      <c r="A8" s="566">
        <v>3</v>
      </c>
      <c r="B8" s="567" t="s">
        <v>490</v>
      </c>
      <c r="C8" s="568">
        <v>100000</v>
      </c>
      <c r="D8" s="563"/>
      <c r="E8" s="563">
        <f t="shared" si="0"/>
        <v>100000</v>
      </c>
      <c r="F8" s="569"/>
      <c r="G8" s="457"/>
      <c r="H8" s="457"/>
      <c r="I8" s="457"/>
    </row>
    <row r="9" spans="1:9" ht="71.25">
      <c r="A9" s="565">
        <v>4</v>
      </c>
      <c r="B9" s="570" t="s">
        <v>491</v>
      </c>
      <c r="C9" s="563">
        <v>300000</v>
      </c>
      <c r="D9" s="563">
        <v>0</v>
      </c>
      <c r="E9" s="563">
        <f t="shared" si="0"/>
        <v>300000</v>
      </c>
      <c r="F9" s="569"/>
      <c r="G9" s="584">
        <f>SUM(E8:E30)</f>
        <v>5461418.85</v>
      </c>
      <c r="H9" s="457"/>
      <c r="I9" s="457"/>
    </row>
    <row r="10" spans="1:9" ht="47.25">
      <c r="A10" s="566">
        <v>5</v>
      </c>
      <c r="B10" s="570" t="s">
        <v>492</v>
      </c>
      <c r="C10" s="563">
        <v>500000</v>
      </c>
      <c r="D10" s="563">
        <v>0</v>
      </c>
      <c r="E10" s="563">
        <f t="shared" si="0"/>
        <v>500000</v>
      </c>
      <c r="F10" s="569"/>
      <c r="G10" s="584">
        <f>SUM(E6:E7)</f>
        <v>0</v>
      </c>
      <c r="H10" s="457"/>
      <c r="I10" s="457"/>
    </row>
    <row r="11" spans="1:9" ht="51" customHeight="1">
      <c r="A11" s="565">
        <v>6</v>
      </c>
      <c r="B11" s="570" t="s">
        <v>494</v>
      </c>
      <c r="C11" s="568">
        <v>1262790</v>
      </c>
      <c r="D11" s="563"/>
      <c r="E11" s="563">
        <f t="shared" si="0"/>
        <v>1262790</v>
      </c>
      <c r="F11" s="569"/>
      <c r="G11" s="457"/>
      <c r="H11" s="457"/>
      <c r="I11" s="457"/>
    </row>
    <row r="12" spans="1:9" ht="47.25">
      <c r="A12" s="566">
        <v>7</v>
      </c>
      <c r="B12" s="570" t="s">
        <v>493</v>
      </c>
      <c r="C12" s="568">
        <v>247000</v>
      </c>
      <c r="D12" s="563"/>
      <c r="E12" s="563">
        <f t="shared" si="0"/>
        <v>247000</v>
      </c>
      <c r="F12" s="569"/>
      <c r="G12" s="457"/>
      <c r="H12" s="457"/>
      <c r="I12" s="457"/>
    </row>
    <row r="13" spans="1:9" ht="71.25">
      <c r="A13" s="565"/>
      <c r="B13" s="570" t="s">
        <v>510</v>
      </c>
      <c r="C13" s="568">
        <v>574000</v>
      </c>
      <c r="D13" s="563"/>
      <c r="E13" s="563">
        <f t="shared" si="0"/>
        <v>574000</v>
      </c>
      <c r="F13" s="569"/>
      <c r="G13" s="457"/>
      <c r="H13" s="457"/>
      <c r="I13" s="457"/>
    </row>
    <row r="14" spans="1:9" ht="65.25">
      <c r="A14" s="565">
        <v>8</v>
      </c>
      <c r="B14" s="571" t="s">
        <v>495</v>
      </c>
      <c r="C14" s="563">
        <v>301000</v>
      </c>
      <c r="D14" s="563">
        <v>0</v>
      </c>
      <c r="E14" s="563">
        <f t="shared" si="0"/>
        <v>301000</v>
      </c>
      <c r="F14" s="569"/>
      <c r="G14" s="457"/>
      <c r="H14" s="457"/>
      <c r="I14" s="457"/>
    </row>
    <row r="15" spans="1:9" ht="47.25">
      <c r="A15" s="566">
        <v>9</v>
      </c>
      <c r="B15" s="570" t="s">
        <v>496</v>
      </c>
      <c r="C15" s="563">
        <v>219000</v>
      </c>
      <c r="D15" s="563"/>
      <c r="E15" s="563">
        <f t="shared" si="0"/>
        <v>219000</v>
      </c>
      <c r="F15" s="569"/>
      <c r="G15" s="457"/>
      <c r="H15" s="457"/>
      <c r="I15" s="457"/>
    </row>
    <row r="16" spans="1:9" ht="71.25">
      <c r="A16" s="565">
        <v>10</v>
      </c>
      <c r="B16" s="570" t="s">
        <v>497</v>
      </c>
      <c r="C16" s="563">
        <v>271000</v>
      </c>
      <c r="D16" s="563"/>
      <c r="E16" s="563">
        <f t="shared" si="0"/>
        <v>271000</v>
      </c>
      <c r="F16" s="569"/>
      <c r="G16" s="457"/>
      <c r="H16" s="457"/>
      <c r="I16" s="457"/>
    </row>
    <row r="17" spans="1:9" ht="23.25">
      <c r="A17" s="861" t="s">
        <v>141</v>
      </c>
      <c r="B17" s="862"/>
      <c r="C17" s="557" t="s">
        <v>46</v>
      </c>
      <c r="D17" s="557" t="s">
        <v>64</v>
      </c>
      <c r="E17" s="557" t="s">
        <v>65</v>
      </c>
      <c r="F17" s="558" t="s">
        <v>114</v>
      </c>
      <c r="G17" s="457"/>
      <c r="H17" s="457"/>
      <c r="I17" s="457"/>
    </row>
    <row r="18" spans="1:9" ht="52.5" customHeight="1">
      <c r="A18" s="566">
        <v>11</v>
      </c>
      <c r="B18" s="570" t="s">
        <v>498</v>
      </c>
      <c r="C18" s="563">
        <v>400000</v>
      </c>
      <c r="D18" s="563">
        <v>0</v>
      </c>
      <c r="E18" s="563">
        <f t="shared" si="0"/>
        <v>400000</v>
      </c>
      <c r="F18" s="569"/>
      <c r="G18" s="457"/>
      <c r="H18" s="457"/>
      <c r="I18" s="457"/>
    </row>
    <row r="19" spans="1:9" ht="47.25">
      <c r="A19" s="565">
        <v>12</v>
      </c>
      <c r="B19" s="570" t="s">
        <v>499</v>
      </c>
      <c r="C19" s="563">
        <v>350000</v>
      </c>
      <c r="D19" s="563"/>
      <c r="E19" s="563">
        <f t="shared" si="0"/>
        <v>350000</v>
      </c>
      <c r="F19" s="569"/>
      <c r="G19" s="457"/>
      <c r="H19" s="457"/>
      <c r="I19" s="457"/>
    </row>
    <row r="20" spans="1:9" ht="47.25">
      <c r="A20" s="566">
        <v>13</v>
      </c>
      <c r="B20" s="570" t="s">
        <v>500</v>
      </c>
      <c r="C20" s="563">
        <v>23000</v>
      </c>
      <c r="D20" s="563">
        <v>22000</v>
      </c>
      <c r="E20" s="563">
        <f t="shared" si="0"/>
        <v>1000</v>
      </c>
      <c r="F20" s="564" t="s">
        <v>622</v>
      </c>
      <c r="G20" s="457"/>
      <c r="H20" s="457"/>
      <c r="I20" s="457"/>
    </row>
    <row r="21" spans="1:9" ht="47.25">
      <c r="A21" s="565">
        <v>14</v>
      </c>
      <c r="B21" s="570" t="s">
        <v>501</v>
      </c>
      <c r="C21" s="563">
        <v>2000</v>
      </c>
      <c r="D21" s="563">
        <v>0</v>
      </c>
      <c r="E21" s="563">
        <f t="shared" si="0"/>
        <v>2000</v>
      </c>
      <c r="F21" s="569"/>
      <c r="G21" s="457"/>
      <c r="H21" s="457"/>
      <c r="I21" s="457"/>
    </row>
    <row r="22" spans="1:9" ht="47.25">
      <c r="A22" s="566">
        <v>15</v>
      </c>
      <c r="B22" s="560" t="s">
        <v>502</v>
      </c>
      <c r="C22" s="562">
        <v>9000</v>
      </c>
      <c r="D22" s="562"/>
      <c r="E22" s="562">
        <f t="shared" si="0"/>
        <v>9000</v>
      </c>
      <c r="F22" s="564"/>
      <c r="G22" s="457"/>
      <c r="H22" s="457"/>
      <c r="I22" s="457"/>
    </row>
    <row r="23" spans="1:9" ht="47.25">
      <c r="A23" s="565">
        <v>16</v>
      </c>
      <c r="B23" s="570" t="s">
        <v>503</v>
      </c>
      <c r="C23" s="563">
        <v>3100</v>
      </c>
      <c r="D23" s="563">
        <v>3100</v>
      </c>
      <c r="E23" s="563">
        <f t="shared" si="0"/>
        <v>0</v>
      </c>
      <c r="F23" s="564" t="s">
        <v>622</v>
      </c>
      <c r="G23" s="457"/>
      <c r="H23" s="457"/>
      <c r="I23" s="457"/>
    </row>
    <row r="24" spans="1:9" ht="71.25">
      <c r="A24" s="566">
        <v>17</v>
      </c>
      <c r="B24" s="570" t="s">
        <v>504</v>
      </c>
      <c r="C24" s="563">
        <v>7600</v>
      </c>
      <c r="D24" s="563">
        <v>7600</v>
      </c>
      <c r="E24" s="563">
        <f t="shared" si="0"/>
        <v>0</v>
      </c>
      <c r="F24" s="564" t="s">
        <v>622</v>
      </c>
      <c r="G24" s="457"/>
      <c r="H24" s="457"/>
      <c r="I24" s="457"/>
    </row>
    <row r="25" spans="1:9" ht="47.25">
      <c r="A25" s="565">
        <v>18</v>
      </c>
      <c r="B25" s="560" t="s">
        <v>505</v>
      </c>
      <c r="C25" s="562">
        <v>30000</v>
      </c>
      <c r="D25" s="562">
        <v>22000</v>
      </c>
      <c r="E25" s="562">
        <f t="shared" si="0"/>
        <v>8000</v>
      </c>
      <c r="F25" s="564" t="s">
        <v>665</v>
      </c>
      <c r="G25" s="457"/>
      <c r="H25" s="457"/>
      <c r="I25" s="457"/>
    </row>
    <row r="26" spans="1:9" ht="47.25">
      <c r="A26" s="566">
        <v>19</v>
      </c>
      <c r="B26" s="572" t="s">
        <v>506</v>
      </c>
      <c r="C26" s="542">
        <v>10000</v>
      </c>
      <c r="D26" s="563">
        <v>7500</v>
      </c>
      <c r="E26" s="563">
        <f t="shared" si="0"/>
        <v>2500</v>
      </c>
      <c r="F26" s="564" t="s">
        <v>663</v>
      </c>
      <c r="G26" s="457"/>
      <c r="H26" s="457"/>
      <c r="I26" s="457"/>
    </row>
    <row r="27" spans="1:9" ht="23.25">
      <c r="A27" s="565">
        <v>20</v>
      </c>
      <c r="B27" s="577" t="s">
        <v>507</v>
      </c>
      <c r="C27" s="578">
        <v>8000</v>
      </c>
      <c r="D27" s="562"/>
      <c r="E27" s="562">
        <f t="shared" si="0"/>
        <v>8000</v>
      </c>
      <c r="F27" s="564"/>
      <c r="G27" s="457"/>
      <c r="H27" s="457"/>
      <c r="I27" s="457"/>
    </row>
    <row r="28" spans="1:9" ht="47.25">
      <c r="A28" s="566">
        <v>21</v>
      </c>
      <c r="B28" s="577" t="s">
        <v>507</v>
      </c>
      <c r="C28" s="578">
        <v>8000</v>
      </c>
      <c r="D28" s="562">
        <v>8000</v>
      </c>
      <c r="E28" s="562">
        <f t="shared" si="0"/>
        <v>0</v>
      </c>
      <c r="F28" s="564" t="s">
        <v>633</v>
      </c>
      <c r="G28" s="457"/>
      <c r="H28" s="457"/>
      <c r="I28" s="457"/>
    </row>
    <row r="29" spans="1:9" ht="47.25">
      <c r="A29" s="565">
        <v>22</v>
      </c>
      <c r="B29" s="577" t="s">
        <v>508</v>
      </c>
      <c r="C29" s="578">
        <v>120000</v>
      </c>
      <c r="D29" s="562">
        <v>119995.15</v>
      </c>
      <c r="E29" s="562">
        <f t="shared" si="0"/>
        <v>4.850000000005821</v>
      </c>
      <c r="F29" s="564" t="s">
        <v>646</v>
      </c>
      <c r="G29" s="457"/>
      <c r="H29" s="457"/>
      <c r="I29" s="457"/>
    </row>
    <row r="30" spans="1:9" ht="23.25">
      <c r="A30" s="566">
        <v>23</v>
      </c>
      <c r="B30" s="577" t="s">
        <v>509</v>
      </c>
      <c r="C30" s="578">
        <v>906124</v>
      </c>
      <c r="D30" s="562"/>
      <c r="E30" s="562">
        <f t="shared" si="0"/>
        <v>906124</v>
      </c>
      <c r="F30" s="564"/>
      <c r="G30" s="457"/>
      <c r="H30" s="457"/>
      <c r="I30" s="457"/>
    </row>
    <row r="31" spans="1:9" ht="23.25">
      <c r="A31" s="573"/>
      <c r="B31" s="574" t="s">
        <v>70</v>
      </c>
      <c r="C31" s="575">
        <f>SUM(C6:C30)</f>
        <v>6679717.24</v>
      </c>
      <c r="D31" s="575">
        <f>SUM(D6:D24)</f>
        <v>1060803.24</v>
      </c>
      <c r="E31" s="575">
        <f>SUM(E6:E30)</f>
        <v>5461418.85</v>
      </c>
      <c r="F31" s="576"/>
      <c r="G31" s="457"/>
      <c r="H31" s="457"/>
      <c r="I31" s="457"/>
    </row>
    <row r="32" spans="1:9" ht="18">
      <c r="A32" s="457"/>
      <c r="B32" s="457"/>
      <c r="C32" s="458"/>
      <c r="D32" s="458"/>
      <c r="E32" s="458"/>
      <c r="F32" s="458"/>
      <c r="G32" s="457"/>
      <c r="H32" s="457"/>
      <c r="I32" s="457"/>
    </row>
    <row r="33" spans="1:9" ht="18">
      <c r="A33" s="457"/>
      <c r="B33" s="457"/>
      <c r="C33" s="458"/>
      <c r="D33" s="458"/>
      <c r="E33" s="458"/>
      <c r="F33" s="458"/>
      <c r="G33" s="457"/>
      <c r="H33" s="457"/>
      <c r="I33" s="457"/>
    </row>
    <row r="34" spans="1:9" ht="18">
      <c r="A34" s="457"/>
      <c r="B34" s="457"/>
      <c r="C34" s="458"/>
      <c r="D34" s="458"/>
      <c r="E34" s="458"/>
      <c r="F34" s="458"/>
      <c r="G34" s="457"/>
      <c r="H34" s="457"/>
      <c r="I34" s="457"/>
    </row>
    <row r="35" spans="1:9" ht="18">
      <c r="A35" s="457"/>
      <c r="B35" s="457"/>
      <c r="C35" s="458"/>
      <c r="D35" s="458"/>
      <c r="E35" s="458"/>
      <c r="F35" s="458"/>
      <c r="G35" s="457"/>
      <c r="H35" s="457"/>
      <c r="I35" s="457"/>
    </row>
    <row r="36" spans="1:9" ht="18">
      <c r="A36" s="457"/>
      <c r="B36" s="457"/>
      <c r="C36" s="458"/>
      <c r="D36" s="458"/>
      <c r="E36" s="458"/>
      <c r="F36" s="458"/>
      <c r="G36" s="457"/>
      <c r="H36" s="457"/>
      <c r="I36" s="457"/>
    </row>
    <row r="37" spans="1:9" ht="18">
      <c r="A37" s="457"/>
      <c r="B37" s="457"/>
      <c r="C37" s="458"/>
      <c r="D37" s="458"/>
      <c r="E37" s="458"/>
      <c r="F37" s="458"/>
      <c r="G37" s="457"/>
      <c r="H37" s="457"/>
      <c r="I37" s="457"/>
    </row>
    <row r="38" spans="1:9" ht="18">
      <c r="A38" s="457"/>
      <c r="B38" s="457"/>
      <c r="C38" s="458"/>
      <c r="D38" s="458"/>
      <c r="E38" s="458"/>
      <c r="F38" s="458"/>
      <c r="G38" s="457"/>
      <c r="H38" s="457"/>
      <c r="I38" s="457"/>
    </row>
    <row r="39" spans="1:9" ht="18">
      <c r="A39" s="457"/>
      <c r="B39" s="457"/>
      <c r="C39" s="458"/>
      <c r="D39" s="458"/>
      <c r="E39" s="458"/>
      <c r="F39" s="458"/>
      <c r="G39" s="457"/>
      <c r="H39" s="457"/>
      <c r="I39" s="457"/>
    </row>
    <row r="40" spans="1:9" ht="18">
      <c r="A40" s="457"/>
      <c r="B40" s="457"/>
      <c r="C40" s="458"/>
      <c r="D40" s="458"/>
      <c r="E40" s="458"/>
      <c r="F40" s="458"/>
      <c r="G40" s="457"/>
      <c r="H40" s="457"/>
      <c r="I40" s="457"/>
    </row>
    <row r="41" spans="1:9" ht="18">
      <c r="A41" s="457"/>
      <c r="B41" s="457"/>
      <c r="C41" s="458"/>
      <c r="D41" s="458"/>
      <c r="E41" s="458"/>
      <c r="F41" s="458"/>
      <c r="G41" s="457"/>
      <c r="H41" s="457"/>
      <c r="I41" s="457"/>
    </row>
    <row r="42" spans="1:9" ht="18">
      <c r="A42" s="457"/>
      <c r="B42" s="457"/>
      <c r="C42" s="458"/>
      <c r="D42" s="458"/>
      <c r="E42" s="458"/>
      <c r="F42" s="458"/>
      <c r="G42" s="457"/>
      <c r="H42" s="457"/>
      <c r="I42" s="457"/>
    </row>
    <row r="43" spans="1:9" ht="18">
      <c r="A43" s="457"/>
      <c r="B43" s="457"/>
      <c r="C43" s="458"/>
      <c r="D43" s="458"/>
      <c r="E43" s="458"/>
      <c r="F43" s="458"/>
      <c r="G43" s="457"/>
      <c r="H43" s="457"/>
      <c r="I43" s="457"/>
    </row>
    <row r="44" spans="1:9" ht="18">
      <c r="A44" s="457"/>
      <c r="B44" s="457"/>
      <c r="C44" s="458"/>
      <c r="D44" s="458"/>
      <c r="E44" s="458"/>
      <c r="F44" s="458"/>
      <c r="G44" s="457"/>
      <c r="H44" s="457"/>
      <c r="I44" s="457"/>
    </row>
    <row r="45" spans="1:9" ht="18">
      <c r="A45" s="457"/>
      <c r="B45" s="457"/>
      <c r="C45" s="458"/>
      <c r="D45" s="458"/>
      <c r="E45" s="458"/>
      <c r="F45" s="458"/>
      <c r="G45" s="457"/>
      <c r="H45" s="457"/>
      <c r="I45" s="457"/>
    </row>
    <row r="46" spans="1:9" ht="18">
      <c r="A46" s="457"/>
      <c r="B46" s="457"/>
      <c r="C46" s="458"/>
      <c r="D46" s="458"/>
      <c r="E46" s="458"/>
      <c r="F46" s="458"/>
      <c r="G46" s="457"/>
      <c r="H46" s="457"/>
      <c r="I46" s="457"/>
    </row>
    <row r="47" spans="1:9" ht="18">
      <c r="A47" s="457"/>
      <c r="B47" s="457"/>
      <c r="C47" s="458"/>
      <c r="D47" s="458"/>
      <c r="E47" s="458"/>
      <c r="F47" s="458"/>
      <c r="G47" s="457"/>
      <c r="H47" s="457"/>
      <c r="I47" s="457"/>
    </row>
    <row r="48" spans="1:9" ht="18">
      <c r="A48" s="457"/>
      <c r="B48" s="457"/>
      <c r="C48" s="458"/>
      <c r="D48" s="458"/>
      <c r="E48" s="458"/>
      <c r="F48" s="458"/>
      <c r="G48" s="457"/>
      <c r="H48" s="457"/>
      <c r="I48" s="457"/>
    </row>
    <row r="49" spans="1:9" ht="18">
      <c r="A49" s="457"/>
      <c r="B49" s="457"/>
      <c r="C49" s="458"/>
      <c r="D49" s="458"/>
      <c r="E49" s="458"/>
      <c r="F49" s="458"/>
      <c r="G49" s="457"/>
      <c r="H49" s="457"/>
      <c r="I49" s="457"/>
    </row>
    <row r="50" spans="1:9" ht="18">
      <c r="A50" s="457"/>
      <c r="B50" s="457"/>
      <c r="C50" s="458"/>
      <c r="D50" s="458"/>
      <c r="E50" s="458"/>
      <c r="F50" s="458"/>
      <c r="G50" s="457"/>
      <c r="H50" s="457"/>
      <c r="I50" s="457"/>
    </row>
    <row r="51" spans="1:9" ht="18">
      <c r="A51" s="457"/>
      <c r="B51" s="457"/>
      <c r="C51" s="458"/>
      <c r="D51" s="458"/>
      <c r="E51" s="458"/>
      <c r="F51" s="458"/>
      <c r="G51" s="457"/>
      <c r="H51" s="457"/>
      <c r="I51" s="457"/>
    </row>
    <row r="52" spans="1:9" ht="18">
      <c r="A52" s="457"/>
      <c r="B52" s="457"/>
      <c r="C52" s="458"/>
      <c r="D52" s="458"/>
      <c r="E52" s="458"/>
      <c r="F52" s="458"/>
      <c r="G52" s="457"/>
      <c r="H52" s="457"/>
      <c r="I52" s="457"/>
    </row>
    <row r="53" spans="1:9" ht="18">
      <c r="A53" s="457"/>
      <c r="B53" s="457"/>
      <c r="C53" s="458"/>
      <c r="D53" s="458"/>
      <c r="E53" s="458"/>
      <c r="F53" s="458"/>
      <c r="G53" s="457"/>
      <c r="H53" s="457"/>
      <c r="I53" s="457"/>
    </row>
    <row r="54" spans="1:9" ht="18">
      <c r="A54" s="457"/>
      <c r="B54" s="457"/>
      <c r="C54" s="458"/>
      <c r="D54" s="458"/>
      <c r="E54" s="458"/>
      <c r="F54" s="458"/>
      <c r="G54" s="457"/>
      <c r="H54" s="457"/>
      <c r="I54" s="457"/>
    </row>
    <row r="55" spans="1:9" ht="18">
      <c r="A55" s="457"/>
      <c r="B55" s="457"/>
      <c r="C55" s="458"/>
      <c r="D55" s="458"/>
      <c r="E55" s="458"/>
      <c r="F55" s="458"/>
      <c r="G55" s="457"/>
      <c r="H55" s="457"/>
      <c r="I55" s="457"/>
    </row>
    <row r="56" spans="1:9" ht="18">
      <c r="A56" s="457"/>
      <c r="B56" s="457"/>
      <c r="C56" s="458"/>
      <c r="D56" s="458"/>
      <c r="E56" s="458"/>
      <c r="F56" s="458"/>
      <c r="G56" s="457"/>
      <c r="H56" s="457"/>
      <c r="I56" s="457"/>
    </row>
    <row r="57" spans="1:9" ht="18">
      <c r="A57" s="457"/>
      <c r="B57" s="457"/>
      <c r="C57" s="458"/>
      <c r="D57" s="458"/>
      <c r="E57" s="458"/>
      <c r="F57" s="458"/>
      <c r="G57" s="457"/>
      <c r="H57" s="457"/>
      <c r="I57" s="457"/>
    </row>
    <row r="58" spans="1:9" ht="18">
      <c r="A58" s="457"/>
      <c r="B58" s="457"/>
      <c r="C58" s="458"/>
      <c r="D58" s="458"/>
      <c r="E58" s="458"/>
      <c r="F58" s="458"/>
      <c r="G58" s="457"/>
      <c r="H58" s="457"/>
      <c r="I58" s="457"/>
    </row>
    <row r="59" spans="1:9" ht="18">
      <c r="A59" s="457"/>
      <c r="B59" s="457"/>
      <c r="C59" s="458"/>
      <c r="D59" s="458"/>
      <c r="E59" s="458"/>
      <c r="F59" s="458"/>
      <c r="G59" s="457"/>
      <c r="H59" s="457"/>
      <c r="I59" s="457"/>
    </row>
    <row r="60" spans="1:9" ht="18">
      <c r="A60" s="457"/>
      <c r="B60" s="457"/>
      <c r="C60" s="458"/>
      <c r="D60" s="458"/>
      <c r="E60" s="458"/>
      <c r="F60" s="458"/>
      <c r="G60" s="457"/>
      <c r="H60" s="457"/>
      <c r="I60" s="457"/>
    </row>
    <row r="61" spans="1:9" ht="18">
      <c r="A61" s="457"/>
      <c r="B61" s="457"/>
      <c r="C61" s="458"/>
      <c r="D61" s="458"/>
      <c r="E61" s="458"/>
      <c r="F61" s="458"/>
      <c r="G61" s="457"/>
      <c r="H61" s="457"/>
      <c r="I61" s="457"/>
    </row>
    <row r="62" spans="1:9" ht="18">
      <c r="A62" s="457"/>
      <c r="B62" s="457"/>
      <c r="C62" s="458"/>
      <c r="D62" s="458"/>
      <c r="E62" s="458"/>
      <c r="F62" s="458"/>
      <c r="G62" s="457"/>
      <c r="H62" s="457"/>
      <c r="I62" s="457"/>
    </row>
    <row r="63" spans="1:9" ht="18">
      <c r="A63" s="457"/>
      <c r="B63" s="457"/>
      <c r="C63" s="458"/>
      <c r="D63" s="458"/>
      <c r="E63" s="458"/>
      <c r="F63" s="458"/>
      <c r="G63" s="457"/>
      <c r="H63" s="457"/>
      <c r="I63" s="457"/>
    </row>
    <row r="64" spans="1:9" ht="18">
      <c r="A64" s="457"/>
      <c r="B64" s="457"/>
      <c r="C64" s="458"/>
      <c r="D64" s="458"/>
      <c r="E64" s="458"/>
      <c r="F64" s="458"/>
      <c r="G64" s="457"/>
      <c r="H64" s="457"/>
      <c r="I64" s="457"/>
    </row>
    <row r="65" spans="1:9" ht="18">
      <c r="A65" s="457"/>
      <c r="B65" s="457"/>
      <c r="C65" s="458"/>
      <c r="D65" s="458"/>
      <c r="E65" s="458"/>
      <c r="F65" s="458"/>
      <c r="G65" s="457"/>
      <c r="H65" s="457"/>
      <c r="I65" s="457"/>
    </row>
    <row r="66" spans="1:9" ht="18">
      <c r="A66" s="457"/>
      <c r="B66" s="457"/>
      <c r="C66" s="458"/>
      <c r="D66" s="458"/>
      <c r="E66" s="458"/>
      <c r="F66" s="458"/>
      <c r="G66" s="457"/>
      <c r="H66" s="457"/>
      <c r="I66" s="457"/>
    </row>
    <row r="67" spans="1:9" ht="18">
      <c r="A67" s="457"/>
      <c r="B67" s="457"/>
      <c r="C67" s="458"/>
      <c r="D67" s="458"/>
      <c r="E67" s="458"/>
      <c r="F67" s="458"/>
      <c r="G67" s="457"/>
      <c r="H67" s="457"/>
      <c r="I67" s="457"/>
    </row>
    <row r="68" spans="1:9" ht="18">
      <c r="A68" s="457"/>
      <c r="B68" s="457"/>
      <c r="C68" s="458"/>
      <c r="D68" s="458"/>
      <c r="E68" s="458"/>
      <c r="F68" s="458"/>
      <c r="G68" s="457"/>
      <c r="H68" s="457"/>
      <c r="I68" s="457"/>
    </row>
    <row r="69" spans="1:9" ht="18">
      <c r="A69" s="457"/>
      <c r="B69" s="457"/>
      <c r="C69" s="458"/>
      <c r="D69" s="458"/>
      <c r="E69" s="458"/>
      <c r="F69" s="458"/>
      <c r="G69" s="457"/>
      <c r="H69" s="457"/>
      <c r="I69" s="457"/>
    </row>
    <row r="70" spans="1:9" ht="18">
      <c r="A70" s="457"/>
      <c r="B70" s="457"/>
      <c r="C70" s="458"/>
      <c r="D70" s="458"/>
      <c r="E70" s="458"/>
      <c r="F70" s="458"/>
      <c r="G70" s="457"/>
      <c r="H70" s="457"/>
      <c r="I70" s="457"/>
    </row>
    <row r="71" spans="1:9" ht="18">
      <c r="A71" s="457"/>
      <c r="B71" s="457"/>
      <c r="C71" s="458"/>
      <c r="D71" s="458"/>
      <c r="E71" s="458"/>
      <c r="F71" s="458"/>
      <c r="G71" s="457"/>
      <c r="H71" s="457"/>
      <c r="I71" s="457"/>
    </row>
    <row r="72" spans="1:9" ht="18">
      <c r="A72" s="457"/>
      <c r="B72" s="457"/>
      <c r="C72" s="458"/>
      <c r="D72" s="458"/>
      <c r="E72" s="458"/>
      <c r="F72" s="458"/>
      <c r="G72" s="457"/>
      <c r="H72" s="457"/>
      <c r="I72" s="457"/>
    </row>
    <row r="73" spans="1:9" ht="18">
      <c r="A73" s="457"/>
      <c r="B73" s="457"/>
      <c r="C73" s="458"/>
      <c r="D73" s="458"/>
      <c r="E73" s="458"/>
      <c r="F73" s="458"/>
      <c r="G73" s="457"/>
      <c r="H73" s="457"/>
      <c r="I73" s="457"/>
    </row>
    <row r="74" spans="1:9" ht="18">
      <c r="A74" s="457"/>
      <c r="B74" s="457"/>
      <c r="C74" s="458"/>
      <c r="D74" s="458"/>
      <c r="E74" s="458"/>
      <c r="F74" s="458"/>
      <c r="G74" s="457"/>
      <c r="H74" s="457"/>
      <c r="I74" s="457"/>
    </row>
    <row r="75" spans="1:8" ht="18">
      <c r="A75" s="457"/>
      <c r="B75" s="457"/>
      <c r="C75" s="458"/>
      <c r="D75" s="458"/>
      <c r="E75" s="458"/>
      <c r="F75" s="458"/>
      <c r="H75" s="457"/>
    </row>
    <row r="76" spans="1:6" ht="18">
      <c r="A76" s="457"/>
      <c r="B76" s="457"/>
      <c r="C76" s="458"/>
      <c r="D76" s="458"/>
      <c r="E76" s="458"/>
      <c r="F76" s="458"/>
    </row>
    <row r="77" spans="1:6" ht="18">
      <c r="A77" s="457"/>
      <c r="B77" s="457"/>
      <c r="C77" s="458"/>
      <c r="D77" s="458"/>
      <c r="E77" s="458"/>
      <c r="F77" s="458"/>
    </row>
    <row r="78" spans="1:6" ht="18">
      <c r="A78" s="457"/>
      <c r="B78" s="457"/>
      <c r="C78" s="458"/>
      <c r="D78" s="458"/>
      <c r="E78" s="458"/>
      <c r="F78" s="458"/>
    </row>
    <row r="79" spans="1:6" ht="18">
      <c r="A79" s="457"/>
      <c r="B79" s="457"/>
      <c r="C79" s="458"/>
      <c r="D79" s="458"/>
      <c r="E79" s="458"/>
      <c r="F79" s="458"/>
    </row>
    <row r="80" spans="1:6" ht="18">
      <c r="A80" s="457"/>
      <c r="B80" s="457"/>
      <c r="C80" s="458"/>
      <c r="D80" s="458"/>
      <c r="E80" s="458"/>
      <c r="F80" s="458"/>
    </row>
    <row r="81" spans="1:6" ht="18">
      <c r="A81" s="457"/>
      <c r="B81" s="457"/>
      <c r="C81" s="458"/>
      <c r="D81" s="458"/>
      <c r="E81" s="458"/>
      <c r="F81" s="458"/>
    </row>
    <row r="82" spans="1:6" ht="18">
      <c r="A82" s="457"/>
      <c r="B82" s="457"/>
      <c r="C82" s="458"/>
      <c r="D82" s="458"/>
      <c r="E82" s="458"/>
      <c r="F82" s="458"/>
    </row>
    <row r="83" spans="1:6" ht="18">
      <c r="A83" s="457"/>
      <c r="B83" s="457"/>
      <c r="C83" s="458"/>
      <c r="D83" s="458"/>
      <c r="E83" s="458"/>
      <c r="F83" s="458"/>
    </row>
    <row r="84" spans="1:6" ht="18">
      <c r="A84" s="457"/>
      <c r="B84" s="457"/>
      <c r="C84" s="458"/>
      <c r="D84" s="458"/>
      <c r="E84" s="458"/>
      <c r="F84" s="458"/>
    </row>
    <row r="85" spans="1:6" ht="18">
      <c r="A85" s="457"/>
      <c r="B85" s="457"/>
      <c r="C85" s="458"/>
      <c r="D85" s="458"/>
      <c r="E85" s="458"/>
      <c r="F85" s="458"/>
    </row>
    <row r="86" spans="1:6" ht="18">
      <c r="A86" s="457"/>
      <c r="B86" s="457"/>
      <c r="C86" s="458"/>
      <c r="D86" s="458"/>
      <c r="E86" s="458"/>
      <c r="F86" s="458"/>
    </row>
    <row r="87" spans="1:6" ht="18">
      <c r="A87" s="457"/>
      <c r="B87" s="457"/>
      <c r="C87" s="458"/>
      <c r="D87" s="458"/>
      <c r="E87" s="458"/>
      <c r="F87" s="458"/>
    </row>
    <row r="88" spans="1:6" ht="18">
      <c r="A88" s="457"/>
      <c r="B88" s="457"/>
      <c r="C88" s="458"/>
      <c r="D88" s="458"/>
      <c r="E88" s="458"/>
      <c r="F88" s="458"/>
    </row>
    <row r="89" spans="1:6" ht="18">
      <c r="A89" s="457"/>
      <c r="B89" s="457"/>
      <c r="C89" s="458"/>
      <c r="D89" s="458"/>
      <c r="E89" s="458"/>
      <c r="F89" s="458"/>
    </row>
    <row r="90" spans="1:6" ht="18">
      <c r="A90" s="457"/>
      <c r="B90" s="457"/>
      <c r="C90" s="458"/>
      <c r="D90" s="458"/>
      <c r="E90" s="458"/>
      <c r="F90" s="458"/>
    </row>
    <row r="91" spans="1:6" ht="18">
      <c r="A91" s="457"/>
      <c r="B91" s="457"/>
      <c r="C91" s="458"/>
      <c r="D91" s="458"/>
      <c r="E91" s="458"/>
      <c r="F91" s="458"/>
    </row>
    <row r="92" spans="1:6" ht="18">
      <c r="A92" s="457"/>
      <c r="B92" s="457"/>
      <c r="C92" s="458"/>
      <c r="D92" s="458"/>
      <c r="E92" s="458"/>
      <c r="F92" s="458"/>
    </row>
    <row r="93" spans="1:6" ht="18">
      <c r="A93" s="457"/>
      <c r="B93" s="457"/>
      <c r="C93" s="458"/>
      <c r="D93" s="458"/>
      <c r="E93" s="458"/>
      <c r="F93" s="458"/>
    </row>
    <row r="94" spans="1:6" ht="18">
      <c r="A94" s="457"/>
      <c r="B94" s="457"/>
      <c r="C94" s="458"/>
      <c r="D94" s="458"/>
      <c r="E94" s="458"/>
      <c r="F94" s="458"/>
    </row>
    <row r="95" spans="1:6" ht="18">
      <c r="A95" s="457"/>
      <c r="B95" s="457"/>
      <c r="C95" s="458"/>
      <c r="D95" s="458"/>
      <c r="E95" s="458"/>
      <c r="F95" s="458"/>
    </row>
    <row r="96" spans="1:6" ht="18">
      <c r="A96" s="457"/>
      <c r="B96" s="457"/>
      <c r="C96" s="458"/>
      <c r="D96" s="458"/>
      <c r="E96" s="458"/>
      <c r="F96" s="458"/>
    </row>
    <row r="97" spans="1:6" ht="18">
      <c r="A97" s="457"/>
      <c r="B97" s="457"/>
      <c r="C97" s="458"/>
      <c r="D97" s="458"/>
      <c r="E97" s="458"/>
      <c r="F97" s="458"/>
    </row>
    <row r="98" spans="1:6" ht="18">
      <c r="A98" s="457"/>
      <c r="B98" s="457"/>
      <c r="C98" s="458"/>
      <c r="D98" s="458"/>
      <c r="E98" s="458"/>
      <c r="F98" s="458"/>
    </row>
    <row r="99" spans="1:6" ht="18">
      <c r="A99" s="457"/>
      <c r="B99" s="457"/>
      <c r="C99" s="458"/>
      <c r="D99" s="458"/>
      <c r="E99" s="458"/>
      <c r="F99" s="458"/>
    </row>
    <row r="100" spans="1:6" ht="18">
      <c r="A100" s="457"/>
      <c r="B100" s="457"/>
      <c r="C100" s="458"/>
      <c r="D100" s="458"/>
      <c r="E100" s="458"/>
      <c r="F100" s="458"/>
    </row>
    <row r="101" spans="1:6" ht="18">
      <c r="A101" s="457"/>
      <c r="B101" s="457"/>
      <c r="C101" s="458"/>
      <c r="D101" s="458"/>
      <c r="E101" s="458"/>
      <c r="F101" s="458"/>
    </row>
    <row r="102" spans="1:6" ht="18">
      <c r="A102" s="457"/>
      <c r="B102" s="457"/>
      <c r="C102" s="458"/>
      <c r="D102" s="458"/>
      <c r="E102" s="458"/>
      <c r="F102" s="458"/>
    </row>
    <row r="103" spans="1:6" ht="18">
      <c r="A103" s="457"/>
      <c r="B103" s="457"/>
      <c r="C103" s="458"/>
      <c r="D103" s="458"/>
      <c r="E103" s="458"/>
      <c r="F103" s="458"/>
    </row>
    <row r="104" spans="1:6" ht="18">
      <c r="A104" s="457"/>
      <c r="B104" s="457"/>
      <c r="C104" s="458"/>
      <c r="D104" s="458"/>
      <c r="E104" s="458"/>
      <c r="F104" s="458"/>
    </row>
    <row r="105" spans="1:6" ht="18">
      <c r="A105" s="457"/>
      <c r="B105" s="457"/>
      <c r="C105" s="458"/>
      <c r="D105" s="458"/>
      <c r="E105" s="458"/>
      <c r="F105" s="458"/>
    </row>
    <row r="106" spans="1:6" ht="18">
      <c r="A106" s="457"/>
      <c r="B106" s="457"/>
      <c r="C106" s="458"/>
      <c r="D106" s="458"/>
      <c r="E106" s="458"/>
      <c r="F106" s="458"/>
    </row>
    <row r="107" spans="1:6" ht="18">
      <c r="A107" s="457"/>
      <c r="B107" s="457"/>
      <c r="C107" s="458"/>
      <c r="D107" s="458"/>
      <c r="E107" s="458"/>
      <c r="F107" s="458"/>
    </row>
    <row r="108" spans="1:6" ht="18">
      <c r="A108" s="457"/>
      <c r="B108" s="457"/>
      <c r="C108" s="458"/>
      <c r="D108" s="458"/>
      <c r="E108" s="458"/>
      <c r="F108" s="458"/>
    </row>
    <row r="109" spans="1:6" ht="18">
      <c r="A109" s="457"/>
      <c r="B109" s="457"/>
      <c r="C109" s="458"/>
      <c r="D109" s="458"/>
      <c r="E109" s="458"/>
      <c r="F109" s="458"/>
    </row>
    <row r="110" spans="1:6" ht="18">
      <c r="A110" s="457"/>
      <c r="B110" s="457"/>
      <c r="C110" s="458"/>
      <c r="D110" s="458"/>
      <c r="E110" s="458"/>
      <c r="F110" s="458"/>
    </row>
    <row r="111" spans="1:6" ht="18">
      <c r="A111" s="457"/>
      <c r="B111" s="457"/>
      <c r="C111" s="458"/>
      <c r="D111" s="458"/>
      <c r="E111" s="458"/>
      <c r="F111" s="458"/>
    </row>
    <row r="112" spans="1:6" ht="18">
      <c r="A112" s="457"/>
      <c r="B112" s="457"/>
      <c r="C112" s="458"/>
      <c r="D112" s="458"/>
      <c r="E112" s="458"/>
      <c r="F112" s="458"/>
    </row>
    <row r="113" spans="1:6" ht="18">
      <c r="A113" s="457"/>
      <c r="B113" s="457"/>
      <c r="C113" s="458"/>
      <c r="D113" s="458"/>
      <c r="E113" s="458"/>
      <c r="F113" s="458"/>
    </row>
    <row r="114" spans="1:6" ht="18">
      <c r="A114" s="457"/>
      <c r="B114" s="457"/>
      <c r="C114" s="458"/>
      <c r="D114" s="458"/>
      <c r="E114" s="458"/>
      <c r="F114" s="458"/>
    </row>
    <row r="115" spans="1:6" ht="18">
      <c r="A115" s="457"/>
      <c r="B115" s="457"/>
      <c r="C115" s="458"/>
      <c r="D115" s="458"/>
      <c r="E115" s="458"/>
      <c r="F115" s="458"/>
    </row>
    <row r="116" spans="1:6" ht="18">
      <c r="A116" s="457"/>
      <c r="B116" s="457"/>
      <c r="C116" s="458"/>
      <c r="D116" s="458"/>
      <c r="E116" s="458"/>
      <c r="F116" s="458"/>
    </row>
    <row r="117" spans="1:6" ht="18">
      <c r="A117" s="457"/>
      <c r="B117" s="457"/>
      <c r="C117" s="458"/>
      <c r="D117" s="458"/>
      <c r="E117" s="458"/>
      <c r="F117" s="458"/>
    </row>
    <row r="118" spans="1:6" ht="18">
      <c r="A118" s="457"/>
      <c r="B118" s="457"/>
      <c r="C118" s="458"/>
      <c r="D118" s="458"/>
      <c r="E118" s="458"/>
      <c r="F118" s="458"/>
    </row>
    <row r="119" spans="1:6" ht="18">
      <c r="A119" s="457"/>
      <c r="B119" s="457"/>
      <c r="C119" s="458"/>
      <c r="D119" s="458"/>
      <c r="E119" s="458"/>
      <c r="F119" s="458"/>
    </row>
    <row r="120" spans="1:6" ht="18">
      <c r="A120" s="457"/>
      <c r="B120" s="457"/>
      <c r="C120" s="458"/>
      <c r="D120" s="458"/>
      <c r="E120" s="458"/>
      <c r="F120" s="458"/>
    </row>
    <row r="121" spans="1:6" ht="18">
      <c r="A121" s="457"/>
      <c r="B121" s="457"/>
      <c r="C121" s="458"/>
      <c r="D121" s="458"/>
      <c r="E121" s="458"/>
      <c r="F121" s="458"/>
    </row>
    <row r="122" spans="1:6" ht="18">
      <c r="A122" s="457"/>
      <c r="B122" s="457"/>
      <c r="C122" s="458"/>
      <c r="D122" s="458"/>
      <c r="E122" s="458"/>
      <c r="F122" s="458"/>
    </row>
    <row r="123" spans="1:6" ht="18">
      <c r="A123" s="457"/>
      <c r="B123" s="457"/>
      <c r="C123" s="458"/>
      <c r="D123" s="458"/>
      <c r="E123" s="458"/>
      <c r="F123" s="458"/>
    </row>
  </sheetData>
  <sheetProtection/>
  <mergeCells count="5">
    <mergeCell ref="A3:F3"/>
    <mergeCell ref="A4:F4"/>
    <mergeCell ref="A5:B5"/>
    <mergeCell ref="A2:F2"/>
    <mergeCell ref="A17:B17"/>
  </mergeCells>
  <printOptions/>
  <pageMargins left="0.2755905511811024" right="0.11811023622047245" top="0.2755905511811024" bottom="0.15748031496062992" header="0.2362204724409449" footer="0.1968503937007874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Q21"/>
  <sheetViews>
    <sheetView view="pageBreakPreview" zoomScale="57" zoomScaleSheetLayoutView="57" zoomScalePageLayoutView="0" workbookViewId="0" topLeftCell="A4">
      <pane xSplit="3" ySplit="2" topLeftCell="D6" activePane="bottomRight" state="frozen"/>
      <selection pane="topLeft" activeCell="A4" sqref="A4"/>
      <selection pane="topRight" activeCell="D4" sqref="D4"/>
      <selection pane="bottomLeft" activeCell="A6" sqref="A6"/>
      <selection pane="bottomRight" activeCell="C9" sqref="C9"/>
    </sheetView>
  </sheetViews>
  <sheetFormatPr defaultColWidth="9.140625" defaultRowHeight="21.75"/>
  <cols>
    <col min="1" max="1" width="4.57421875" style="121" customWidth="1"/>
    <col min="2" max="2" width="44.140625" style="122" bestFit="1" customWidth="1"/>
    <col min="3" max="4" width="14.57421875" style="122" bestFit="1" customWidth="1"/>
    <col min="5" max="5" width="5.7109375" style="122" bestFit="1" customWidth="1"/>
    <col min="6" max="6" width="14.57421875" style="123" bestFit="1" customWidth="1"/>
    <col min="7" max="7" width="12.7109375" style="123" bestFit="1" customWidth="1"/>
    <col min="8" max="8" width="8.7109375" style="123" bestFit="1" customWidth="1"/>
    <col min="9" max="9" width="12.7109375" style="123" bestFit="1" customWidth="1"/>
    <col min="10" max="10" width="11.57421875" style="123" bestFit="1" customWidth="1"/>
    <col min="11" max="11" width="12.7109375" style="123" bestFit="1" customWidth="1"/>
    <col min="12" max="12" width="10.421875" style="123" bestFit="1" customWidth="1"/>
    <col min="13" max="13" width="14.57421875" style="123" bestFit="1" customWidth="1"/>
    <col min="14" max="15" width="12.7109375" style="123" bestFit="1" customWidth="1"/>
    <col min="16" max="16" width="10.421875" style="123" bestFit="1" customWidth="1"/>
    <col min="17" max="17" width="14.57421875" style="123" bestFit="1" customWidth="1"/>
    <col min="18" max="18" width="5.7109375" style="123" bestFit="1" customWidth="1"/>
    <col min="19" max="19" width="14.57421875" style="123" bestFit="1" customWidth="1"/>
    <col min="20" max="20" width="5.7109375" style="123" bestFit="1" customWidth="1"/>
    <col min="21" max="21" width="14.57421875" style="123" bestFit="1" customWidth="1"/>
    <col min="22" max="22" width="5.7109375" style="123" bestFit="1" customWidth="1"/>
    <col min="23" max="23" width="15.7109375" style="123" customWidth="1"/>
    <col min="24" max="25" width="12.57421875" style="123" customWidth="1"/>
    <col min="26" max="30" width="12.57421875" style="124" customWidth="1"/>
    <col min="31" max="34" width="12.57421875" style="86" customWidth="1"/>
    <col min="35" max="35" width="14.00390625" style="86" customWidth="1"/>
    <col min="36" max="36" width="12.57421875" style="125" customWidth="1"/>
    <col min="37" max="16384" width="9.140625" style="89" customWidth="1"/>
  </cols>
  <sheetData>
    <row r="1" spans="1:36" ht="21">
      <c r="A1" s="82"/>
      <c r="B1" s="83"/>
      <c r="C1" s="83"/>
      <c r="D1" s="83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5"/>
      <c r="AA1" s="85"/>
      <c r="AB1" s="85"/>
      <c r="AC1" s="85"/>
      <c r="AD1" s="85"/>
      <c r="AI1" s="87"/>
      <c r="AJ1" s="88" t="s">
        <v>283</v>
      </c>
    </row>
    <row r="2" spans="1:36" ht="21">
      <c r="A2" s="864" t="s">
        <v>76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4"/>
      <c r="AA2" s="864"/>
      <c r="AB2" s="864"/>
      <c r="AC2" s="864"/>
      <c r="AD2" s="864"/>
      <c r="AE2" s="864"/>
      <c r="AF2" s="864"/>
      <c r="AG2" s="864"/>
      <c r="AH2" s="864"/>
      <c r="AI2" s="864"/>
      <c r="AJ2" s="864"/>
    </row>
    <row r="3" spans="1:43" ht="21">
      <c r="A3" s="865" t="s">
        <v>284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  <c r="AB3" s="865"/>
      <c r="AC3" s="865"/>
      <c r="AD3" s="865"/>
      <c r="AE3" s="865"/>
      <c r="AF3" s="865"/>
      <c r="AG3" s="865"/>
      <c r="AH3" s="865"/>
      <c r="AI3" s="865"/>
      <c r="AJ3" s="865"/>
      <c r="AK3" s="90"/>
      <c r="AL3" s="90"/>
      <c r="AM3" s="90"/>
      <c r="AN3" s="90"/>
      <c r="AO3" s="90"/>
      <c r="AP3" s="90"/>
      <c r="AQ3" s="90"/>
    </row>
    <row r="4" spans="1:43" ht="21">
      <c r="A4" s="866" t="s">
        <v>316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7"/>
      <c r="AD4" s="867"/>
      <c r="AE4" s="867"/>
      <c r="AF4" s="867"/>
      <c r="AG4" s="867"/>
      <c r="AH4" s="867"/>
      <c r="AI4" s="867"/>
      <c r="AJ4" s="868"/>
      <c r="AK4" s="90"/>
      <c r="AL4" s="90"/>
      <c r="AM4" s="90"/>
      <c r="AN4" s="90"/>
      <c r="AO4" s="90"/>
      <c r="AP4" s="90"/>
      <c r="AQ4" s="90"/>
    </row>
    <row r="5" spans="1:36" ht="21">
      <c r="A5" s="91" t="s">
        <v>176</v>
      </c>
      <c r="B5" s="91" t="s">
        <v>52</v>
      </c>
      <c r="C5" s="91" t="s">
        <v>317</v>
      </c>
      <c r="D5" s="91" t="s">
        <v>318</v>
      </c>
      <c r="E5" s="91" t="s">
        <v>304</v>
      </c>
      <c r="F5" s="91" t="s">
        <v>319</v>
      </c>
      <c r="G5" s="91" t="s">
        <v>320</v>
      </c>
      <c r="H5" s="91" t="s">
        <v>304</v>
      </c>
      <c r="I5" s="91" t="s">
        <v>321</v>
      </c>
      <c r="J5" s="91" t="s">
        <v>335</v>
      </c>
      <c r="K5" s="91" t="s">
        <v>336</v>
      </c>
      <c r="L5" s="91" t="s">
        <v>304</v>
      </c>
      <c r="M5" s="91" t="s">
        <v>337</v>
      </c>
      <c r="N5" s="91" t="s">
        <v>338</v>
      </c>
      <c r="O5" s="91" t="s">
        <v>339</v>
      </c>
      <c r="P5" s="91" t="s">
        <v>304</v>
      </c>
      <c r="Q5" s="91" t="s">
        <v>340</v>
      </c>
      <c r="R5" s="91" t="s">
        <v>304</v>
      </c>
      <c r="S5" s="91" t="s">
        <v>341</v>
      </c>
      <c r="T5" s="91" t="s">
        <v>304</v>
      </c>
      <c r="U5" s="91" t="s">
        <v>342</v>
      </c>
      <c r="V5" s="91" t="s">
        <v>304</v>
      </c>
      <c r="W5" s="91" t="s">
        <v>285</v>
      </c>
      <c r="X5" s="92" t="s">
        <v>286</v>
      </c>
      <c r="Y5" s="92" t="s">
        <v>287</v>
      </c>
      <c r="Z5" s="92" t="s">
        <v>343</v>
      </c>
      <c r="AA5" s="92" t="s">
        <v>344</v>
      </c>
      <c r="AB5" s="92" t="s">
        <v>345</v>
      </c>
      <c r="AC5" s="92" t="s">
        <v>346</v>
      </c>
      <c r="AD5" s="92" t="s">
        <v>347</v>
      </c>
      <c r="AE5" s="92" t="s">
        <v>348</v>
      </c>
      <c r="AF5" s="92" t="s">
        <v>349</v>
      </c>
      <c r="AG5" s="92" t="s">
        <v>350</v>
      </c>
      <c r="AH5" s="92" t="s">
        <v>351</v>
      </c>
      <c r="AI5" s="92" t="s">
        <v>288</v>
      </c>
      <c r="AJ5" s="93" t="s">
        <v>65</v>
      </c>
    </row>
    <row r="6" spans="1:36" ht="21">
      <c r="A6" s="94">
        <v>1</v>
      </c>
      <c r="B6" s="94" t="s">
        <v>289</v>
      </c>
      <c r="C6" s="95">
        <v>360024.13</v>
      </c>
      <c r="D6" s="95">
        <v>0</v>
      </c>
      <c r="E6" s="95"/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S6" s="96">
        <v>0</v>
      </c>
      <c r="T6" s="96">
        <v>0</v>
      </c>
      <c r="U6" s="96">
        <v>0</v>
      </c>
      <c r="V6" s="97"/>
      <c r="W6" s="98">
        <f>SUM(D6:U6)</f>
        <v>0</v>
      </c>
      <c r="X6" s="97">
        <v>0</v>
      </c>
      <c r="Y6" s="97">
        <v>0</v>
      </c>
      <c r="Z6" s="97">
        <v>0</v>
      </c>
      <c r="AA6" s="97">
        <v>0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97">
        <v>0</v>
      </c>
      <c r="AI6" s="99">
        <f>SUM(X6:AH6)</f>
        <v>0</v>
      </c>
      <c r="AJ6" s="97">
        <f>W6-AI6</f>
        <v>0</v>
      </c>
    </row>
    <row r="7" spans="1:36" ht="25.5">
      <c r="A7" s="100">
        <v>2</v>
      </c>
      <c r="B7" s="101" t="s">
        <v>290</v>
      </c>
      <c r="C7" s="102"/>
      <c r="D7" s="102"/>
      <c r="E7" s="102"/>
      <c r="F7" s="103">
        <v>37500</v>
      </c>
      <c r="G7" s="103"/>
      <c r="H7" s="103"/>
      <c r="I7" s="103">
        <v>37500</v>
      </c>
      <c r="J7" s="103"/>
      <c r="K7" s="103"/>
      <c r="L7" s="103"/>
      <c r="M7" s="103">
        <v>73500</v>
      </c>
      <c r="N7" s="103"/>
      <c r="O7" s="103"/>
      <c r="P7" s="103"/>
      <c r="Q7" s="103"/>
      <c r="R7" s="103"/>
      <c r="S7" s="103"/>
      <c r="T7" s="103"/>
      <c r="U7" s="103"/>
      <c r="V7" s="104"/>
      <c r="W7" s="103">
        <f aca="true" t="shared" si="0" ref="W7:W20">SUM(D7:U7)</f>
        <v>148500</v>
      </c>
      <c r="X7" s="103">
        <v>12500</v>
      </c>
      <c r="Y7" s="103">
        <v>0</v>
      </c>
      <c r="Z7" s="103">
        <v>12500</v>
      </c>
      <c r="AA7" s="103">
        <v>12500</v>
      </c>
      <c r="AB7" s="103">
        <v>12500</v>
      </c>
      <c r="AC7" s="103">
        <v>33500</v>
      </c>
      <c r="AD7" s="103">
        <v>17500</v>
      </c>
      <c r="AE7" s="103">
        <v>0</v>
      </c>
      <c r="AF7" s="103">
        <v>0</v>
      </c>
      <c r="AG7" s="103">
        <v>0</v>
      </c>
      <c r="AH7" s="103">
        <v>0</v>
      </c>
      <c r="AI7" s="105">
        <f aca="true" t="shared" si="1" ref="AI7:AI20">SUM(X7:AH7)</f>
        <v>101000</v>
      </c>
      <c r="AJ7" s="104">
        <f>W7-AI7</f>
        <v>47500</v>
      </c>
    </row>
    <row r="8" spans="1:36" ht="25.5">
      <c r="A8" s="100">
        <v>3</v>
      </c>
      <c r="B8" s="101" t="s">
        <v>291</v>
      </c>
      <c r="C8" s="102"/>
      <c r="D8" s="102"/>
      <c r="E8" s="102"/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4"/>
      <c r="W8" s="103">
        <f t="shared" si="0"/>
        <v>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0</v>
      </c>
      <c r="AE8" s="103">
        <v>0</v>
      </c>
      <c r="AF8" s="103">
        <v>0</v>
      </c>
      <c r="AG8" s="103">
        <v>0</v>
      </c>
      <c r="AH8" s="103">
        <v>0</v>
      </c>
      <c r="AI8" s="105">
        <f t="shared" si="1"/>
        <v>0</v>
      </c>
      <c r="AJ8" s="104">
        <f>W8-AI8</f>
        <v>0</v>
      </c>
    </row>
    <row r="9" spans="1:36" ht="23.25">
      <c r="A9" s="106">
        <v>4</v>
      </c>
      <c r="B9" s="101" t="s">
        <v>292</v>
      </c>
      <c r="C9" s="107"/>
      <c r="D9" s="107"/>
      <c r="E9" s="107"/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71669.25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9"/>
      <c r="W9" s="110">
        <f t="shared" si="0"/>
        <v>71669.25</v>
      </c>
      <c r="X9" s="108">
        <v>0</v>
      </c>
      <c r="Y9" s="108">
        <v>0</v>
      </c>
      <c r="Z9" s="108">
        <v>0</v>
      </c>
      <c r="AA9" s="108">
        <v>0</v>
      </c>
      <c r="AB9" s="108">
        <v>0</v>
      </c>
      <c r="AC9" s="108">
        <v>55742.75</v>
      </c>
      <c r="AD9" s="108">
        <v>7963.25</v>
      </c>
      <c r="AE9" s="108">
        <v>0</v>
      </c>
      <c r="AF9" s="108">
        <v>0</v>
      </c>
      <c r="AG9" s="108">
        <v>0</v>
      </c>
      <c r="AH9" s="108">
        <v>0</v>
      </c>
      <c r="AI9" s="105">
        <f t="shared" si="1"/>
        <v>63706</v>
      </c>
      <c r="AJ9" s="104">
        <f>W9-AI9</f>
        <v>7963.25</v>
      </c>
    </row>
    <row r="10" spans="1:36" ht="21">
      <c r="A10" s="112">
        <v>5</v>
      </c>
      <c r="B10" s="113" t="s">
        <v>293</v>
      </c>
      <c r="C10" s="114"/>
      <c r="D10" s="114"/>
      <c r="E10" s="114"/>
      <c r="F10" s="115">
        <v>0</v>
      </c>
      <c r="G10" s="115">
        <v>0</v>
      </c>
      <c r="H10" s="115">
        <v>0</v>
      </c>
      <c r="I10" s="115">
        <v>30630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/>
      <c r="W10" s="110">
        <f t="shared" si="0"/>
        <v>30630</v>
      </c>
      <c r="X10" s="115">
        <v>0</v>
      </c>
      <c r="Y10" s="115">
        <v>0</v>
      </c>
      <c r="Z10" s="115">
        <v>0</v>
      </c>
      <c r="AA10" s="115">
        <v>8870</v>
      </c>
      <c r="AB10" s="115">
        <v>8870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05">
        <f t="shared" si="1"/>
        <v>17740</v>
      </c>
      <c r="AJ10" s="111">
        <f aca="true" t="shared" si="2" ref="AJ10:AJ18">W10-AI10</f>
        <v>12890</v>
      </c>
    </row>
    <row r="11" spans="1:36" ht="21">
      <c r="A11" s="112">
        <v>6</v>
      </c>
      <c r="B11" s="113" t="s">
        <v>294</v>
      </c>
      <c r="C11" s="130">
        <v>58000</v>
      </c>
      <c r="D11" s="114"/>
      <c r="E11" s="114">
        <v>0</v>
      </c>
      <c r="F11" s="115">
        <v>1110300</v>
      </c>
      <c r="G11" s="115">
        <v>0</v>
      </c>
      <c r="H11" s="115">
        <v>0</v>
      </c>
      <c r="I11" s="115">
        <v>740200</v>
      </c>
      <c r="J11" s="115">
        <v>0</v>
      </c>
      <c r="K11" s="115">
        <v>0</v>
      </c>
      <c r="L11" s="115">
        <v>0</v>
      </c>
      <c r="M11" s="115">
        <v>721700</v>
      </c>
      <c r="N11" s="115">
        <v>370100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/>
      <c r="W11" s="110">
        <f>SUM(D11:U11)-(H11+L11+P11)</f>
        <v>2942300</v>
      </c>
      <c r="X11" s="115">
        <v>737000</v>
      </c>
      <c r="Y11" s="115">
        <v>368100</v>
      </c>
      <c r="Z11" s="115">
        <v>367500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05">
        <f t="shared" si="1"/>
        <v>1472600</v>
      </c>
      <c r="AJ11" s="111">
        <f>W11-AI11+H11+L11+P11</f>
        <v>1469700</v>
      </c>
    </row>
    <row r="12" spans="1:36" ht="21">
      <c r="A12" s="112">
        <v>7</v>
      </c>
      <c r="B12" s="113" t="s">
        <v>295</v>
      </c>
      <c r="C12" s="114">
        <v>0</v>
      </c>
      <c r="D12" s="114"/>
      <c r="E12" s="114"/>
      <c r="F12" s="115">
        <v>194400</v>
      </c>
      <c r="G12" s="115">
        <v>0</v>
      </c>
      <c r="H12" s="115">
        <v>0</v>
      </c>
      <c r="I12" s="115">
        <v>194400</v>
      </c>
      <c r="J12" s="115">
        <v>0</v>
      </c>
      <c r="K12" s="115">
        <v>0</v>
      </c>
      <c r="L12" s="115">
        <v>0</v>
      </c>
      <c r="M12" s="115">
        <v>64800</v>
      </c>
      <c r="N12" s="115">
        <v>64800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/>
      <c r="W12" s="103">
        <f>SUM(D12:U12)-(P12)</f>
        <v>518400</v>
      </c>
      <c r="X12" s="115">
        <v>128800</v>
      </c>
      <c r="Y12" s="115">
        <v>64000</v>
      </c>
      <c r="Z12" s="115">
        <v>63200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05">
        <f t="shared" si="1"/>
        <v>256000</v>
      </c>
      <c r="AJ12" s="111">
        <f>W12-AI12+H12+L12+P12</f>
        <v>262400</v>
      </c>
    </row>
    <row r="13" spans="1:36" ht="21">
      <c r="A13" s="112">
        <v>10</v>
      </c>
      <c r="B13" s="113" t="s">
        <v>296</v>
      </c>
      <c r="C13" s="114">
        <v>450</v>
      </c>
      <c r="D13" s="114"/>
      <c r="E13" s="114"/>
      <c r="F13" s="115">
        <v>1500</v>
      </c>
      <c r="G13" s="115">
        <v>0</v>
      </c>
      <c r="H13" s="115">
        <v>0</v>
      </c>
      <c r="I13" s="115">
        <v>1000</v>
      </c>
      <c r="J13" s="115">
        <v>0</v>
      </c>
      <c r="K13" s="115">
        <v>0</v>
      </c>
      <c r="L13" s="115">
        <v>0</v>
      </c>
      <c r="M13" s="115">
        <v>2000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/>
      <c r="W13" s="103">
        <f t="shared" si="0"/>
        <v>4500</v>
      </c>
      <c r="X13" s="115">
        <v>500</v>
      </c>
      <c r="Y13" s="115">
        <v>500</v>
      </c>
      <c r="Z13" s="115">
        <v>500</v>
      </c>
      <c r="AA13" s="115">
        <v>500</v>
      </c>
      <c r="AB13" s="115">
        <v>500</v>
      </c>
      <c r="AC13" s="115">
        <v>500</v>
      </c>
      <c r="AD13" s="115">
        <v>500</v>
      </c>
      <c r="AE13" s="115">
        <v>0</v>
      </c>
      <c r="AF13" s="115">
        <v>0</v>
      </c>
      <c r="AG13" s="115">
        <v>0</v>
      </c>
      <c r="AH13" s="115">
        <v>0</v>
      </c>
      <c r="AI13" s="105">
        <f t="shared" si="1"/>
        <v>3500</v>
      </c>
      <c r="AJ13" s="111">
        <f t="shared" si="2"/>
        <v>1000</v>
      </c>
    </row>
    <row r="14" spans="1:36" ht="21">
      <c r="A14" s="112">
        <v>11</v>
      </c>
      <c r="B14" s="113" t="s">
        <v>297</v>
      </c>
      <c r="C14" s="114">
        <v>9000</v>
      </c>
      <c r="D14" s="114"/>
      <c r="E14" s="114"/>
      <c r="F14" s="115">
        <v>30000</v>
      </c>
      <c r="G14" s="115">
        <v>0</v>
      </c>
      <c r="H14" s="115">
        <v>0</v>
      </c>
      <c r="I14" s="115">
        <v>20000</v>
      </c>
      <c r="J14" s="115">
        <v>0</v>
      </c>
      <c r="K14" s="115">
        <v>0</v>
      </c>
      <c r="L14" s="115">
        <v>0</v>
      </c>
      <c r="M14" s="115">
        <v>40000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/>
      <c r="W14" s="103">
        <f t="shared" si="0"/>
        <v>90000</v>
      </c>
      <c r="X14" s="115">
        <f>10000+10000</f>
        <v>20000</v>
      </c>
      <c r="Y14" s="115">
        <v>10000</v>
      </c>
      <c r="Z14" s="115">
        <f>10000</f>
        <v>10000</v>
      </c>
      <c r="AA14" s="115">
        <v>10000</v>
      </c>
      <c r="AB14" s="115">
        <v>0</v>
      </c>
      <c r="AC14" s="115">
        <v>20000</v>
      </c>
      <c r="AD14" s="115">
        <v>10000</v>
      </c>
      <c r="AE14" s="115">
        <v>0</v>
      </c>
      <c r="AF14" s="115">
        <v>0</v>
      </c>
      <c r="AG14" s="115">
        <v>0</v>
      </c>
      <c r="AH14" s="115">
        <v>0</v>
      </c>
      <c r="AI14" s="105">
        <f t="shared" si="1"/>
        <v>80000</v>
      </c>
      <c r="AJ14" s="111">
        <f t="shared" si="2"/>
        <v>10000</v>
      </c>
    </row>
    <row r="15" spans="1:36" ht="21">
      <c r="A15" s="112">
        <v>12</v>
      </c>
      <c r="B15" s="113" t="s">
        <v>328</v>
      </c>
      <c r="C15" s="114"/>
      <c r="D15" s="114"/>
      <c r="E15" s="114"/>
      <c r="F15" s="115">
        <v>23100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/>
      <c r="W15" s="103">
        <f t="shared" si="0"/>
        <v>23100</v>
      </c>
      <c r="X15" s="115">
        <v>0</v>
      </c>
      <c r="Y15" s="115">
        <v>23100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05">
        <f t="shared" si="1"/>
        <v>23100</v>
      </c>
      <c r="AJ15" s="111">
        <f t="shared" si="2"/>
        <v>0</v>
      </c>
    </row>
    <row r="16" spans="1:36" ht="21">
      <c r="A16" s="112"/>
      <c r="B16" s="113" t="s">
        <v>298</v>
      </c>
      <c r="C16" s="114"/>
      <c r="D16" s="114"/>
      <c r="E16" s="114"/>
      <c r="F16" s="115"/>
      <c r="G16" s="115"/>
      <c r="H16" s="115"/>
      <c r="I16" s="115">
        <v>35000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3">
        <f t="shared" si="0"/>
        <v>35000</v>
      </c>
      <c r="X16" s="115">
        <v>0</v>
      </c>
      <c r="Y16" s="115">
        <v>0</v>
      </c>
      <c r="Z16" s="115">
        <v>35000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05"/>
      <c r="AJ16" s="111"/>
    </row>
    <row r="17" spans="1:37" ht="21">
      <c r="A17" s="112">
        <v>13</v>
      </c>
      <c r="B17" s="113" t="s">
        <v>299</v>
      </c>
      <c r="C17" s="114"/>
      <c r="D17" s="114"/>
      <c r="E17" s="114"/>
      <c r="F17" s="115">
        <v>0</v>
      </c>
      <c r="G17" s="115">
        <v>0</v>
      </c>
      <c r="H17" s="115">
        <v>0</v>
      </c>
      <c r="I17" s="115">
        <v>0</v>
      </c>
      <c r="J17" s="115">
        <v>32500</v>
      </c>
      <c r="K17" s="115">
        <v>0</v>
      </c>
      <c r="L17" s="115">
        <v>0</v>
      </c>
      <c r="M17" s="115">
        <v>32500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/>
      <c r="W17" s="103">
        <f t="shared" si="0"/>
        <v>65000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05">
        <f t="shared" si="1"/>
        <v>0</v>
      </c>
      <c r="AJ17" s="111">
        <f t="shared" si="2"/>
        <v>65000</v>
      </c>
      <c r="AK17" s="116"/>
    </row>
    <row r="18" spans="1:36" ht="21">
      <c r="A18" s="112">
        <v>14</v>
      </c>
      <c r="B18" s="113" t="s">
        <v>300</v>
      </c>
      <c r="C18" s="114"/>
      <c r="D18" s="114"/>
      <c r="E18" s="114"/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/>
      <c r="W18" s="103">
        <f t="shared" si="0"/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05">
        <f t="shared" si="1"/>
        <v>0</v>
      </c>
      <c r="AJ18" s="111">
        <f t="shared" si="2"/>
        <v>0</v>
      </c>
    </row>
    <row r="19" spans="1:36" ht="21">
      <c r="A19" s="112">
        <v>16</v>
      </c>
      <c r="B19" s="129" t="s">
        <v>249</v>
      </c>
      <c r="C19" s="114"/>
      <c r="D19" s="114"/>
      <c r="E19" s="114"/>
      <c r="F19" s="115">
        <v>0</v>
      </c>
      <c r="G19" s="115">
        <v>957200</v>
      </c>
      <c r="H19" s="115"/>
      <c r="I19" s="115">
        <v>1233000</v>
      </c>
      <c r="J19" s="115">
        <v>1233000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03">
        <f t="shared" si="0"/>
        <v>3423200</v>
      </c>
      <c r="X19" s="115">
        <v>0</v>
      </c>
      <c r="Y19" s="115">
        <v>957200</v>
      </c>
      <c r="Z19" s="115">
        <v>1233000</v>
      </c>
      <c r="AA19" s="115">
        <v>1233000</v>
      </c>
      <c r="AB19" s="115">
        <v>1534950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27">
        <f t="shared" si="1"/>
        <v>4958150</v>
      </c>
      <c r="AJ19" s="128">
        <v>0</v>
      </c>
    </row>
    <row r="20" spans="1:36" ht="21">
      <c r="A20" s="132">
        <v>17</v>
      </c>
      <c r="B20" s="133" t="s">
        <v>370</v>
      </c>
      <c r="C20" s="134"/>
      <c r="D20" s="134"/>
      <c r="E20" s="134"/>
      <c r="F20" s="135"/>
      <c r="G20" s="135"/>
      <c r="H20" s="135"/>
      <c r="I20" s="135"/>
      <c r="J20" s="135"/>
      <c r="K20" s="135">
        <v>584769</v>
      </c>
      <c r="L20" s="135"/>
      <c r="M20" s="135"/>
      <c r="N20" s="135">
        <v>433907</v>
      </c>
      <c r="O20" s="135"/>
      <c r="P20" s="135"/>
      <c r="Q20" s="135"/>
      <c r="R20" s="135"/>
      <c r="S20" s="135"/>
      <c r="T20" s="135"/>
      <c r="U20" s="135"/>
      <c r="V20" s="135"/>
      <c r="W20" s="103">
        <f t="shared" si="0"/>
        <v>1018676</v>
      </c>
      <c r="X20" s="135"/>
      <c r="Y20" s="135"/>
      <c r="Z20" s="135"/>
      <c r="AA20" s="135"/>
      <c r="AB20" s="135">
        <v>584769</v>
      </c>
      <c r="AC20" s="135"/>
      <c r="AD20" s="135"/>
      <c r="AE20" s="135"/>
      <c r="AF20" s="135"/>
      <c r="AG20" s="135"/>
      <c r="AH20" s="135"/>
      <c r="AI20" s="127">
        <f t="shared" si="1"/>
        <v>584769</v>
      </c>
      <c r="AJ20" s="128">
        <v>0</v>
      </c>
    </row>
    <row r="21" spans="1:36" s="120" customFormat="1" ht="21.75" thickBot="1">
      <c r="A21" s="117"/>
      <c r="B21" s="118"/>
      <c r="C21" s="119">
        <f>SUM(C6:C20)</f>
        <v>427474.13</v>
      </c>
      <c r="D21" s="119">
        <f aca="true" t="shared" si="3" ref="D21:AJ21">SUM(D6:D20)</f>
        <v>0</v>
      </c>
      <c r="E21" s="119">
        <f t="shared" si="3"/>
        <v>0</v>
      </c>
      <c r="F21" s="119">
        <f t="shared" si="3"/>
        <v>1396800</v>
      </c>
      <c r="G21" s="119">
        <f t="shared" si="3"/>
        <v>957200</v>
      </c>
      <c r="H21" s="119">
        <f t="shared" si="3"/>
        <v>0</v>
      </c>
      <c r="I21" s="119">
        <f t="shared" si="3"/>
        <v>2291730</v>
      </c>
      <c r="J21" s="119">
        <f t="shared" si="3"/>
        <v>1265500</v>
      </c>
      <c r="K21" s="119">
        <f t="shared" si="3"/>
        <v>584769</v>
      </c>
      <c r="L21" s="119">
        <f t="shared" si="3"/>
        <v>0</v>
      </c>
      <c r="M21" s="119">
        <f t="shared" si="3"/>
        <v>1006169.25</v>
      </c>
      <c r="N21" s="119">
        <f t="shared" si="3"/>
        <v>868807</v>
      </c>
      <c r="O21" s="119">
        <f t="shared" si="3"/>
        <v>0</v>
      </c>
      <c r="P21" s="119">
        <f t="shared" si="3"/>
        <v>0</v>
      </c>
      <c r="Q21" s="119">
        <f t="shared" si="3"/>
        <v>0</v>
      </c>
      <c r="R21" s="119">
        <f t="shared" si="3"/>
        <v>0</v>
      </c>
      <c r="S21" s="119">
        <f t="shared" si="3"/>
        <v>0</v>
      </c>
      <c r="T21" s="119">
        <f t="shared" si="3"/>
        <v>0</v>
      </c>
      <c r="U21" s="119">
        <f t="shared" si="3"/>
        <v>0</v>
      </c>
      <c r="V21" s="119">
        <f t="shared" si="3"/>
        <v>0</v>
      </c>
      <c r="W21" s="119">
        <f t="shared" si="3"/>
        <v>8370975.25</v>
      </c>
      <c r="X21" s="119">
        <f t="shared" si="3"/>
        <v>898800</v>
      </c>
      <c r="Y21" s="119">
        <f t="shared" si="3"/>
        <v>1422900</v>
      </c>
      <c r="Z21" s="119">
        <f t="shared" si="3"/>
        <v>1721700</v>
      </c>
      <c r="AA21" s="119">
        <f t="shared" si="3"/>
        <v>1264870</v>
      </c>
      <c r="AB21" s="119">
        <f t="shared" si="3"/>
        <v>2141589</v>
      </c>
      <c r="AC21" s="119">
        <f t="shared" si="3"/>
        <v>109742.75</v>
      </c>
      <c r="AD21" s="119">
        <f t="shared" si="3"/>
        <v>35963.25</v>
      </c>
      <c r="AE21" s="119">
        <f t="shared" si="3"/>
        <v>0</v>
      </c>
      <c r="AF21" s="119">
        <f t="shared" si="3"/>
        <v>0</v>
      </c>
      <c r="AG21" s="119">
        <f t="shared" si="3"/>
        <v>0</v>
      </c>
      <c r="AH21" s="119">
        <f t="shared" si="3"/>
        <v>0</v>
      </c>
      <c r="AI21" s="119">
        <f t="shared" si="3"/>
        <v>7560565</v>
      </c>
      <c r="AJ21" s="119">
        <f t="shared" si="3"/>
        <v>1876453.25</v>
      </c>
    </row>
    <row r="22" ht="18.75" thickTop="1"/>
  </sheetData>
  <sheetProtection/>
  <mergeCells count="3">
    <mergeCell ref="A2:AJ2"/>
    <mergeCell ref="A3:AJ3"/>
    <mergeCell ref="A4:AJ4"/>
  </mergeCells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zoomScale="110" zoomScaleNormal="110" zoomScaleSheetLayoutView="110" zoomScalePageLayoutView="0" workbookViewId="0" topLeftCell="A1">
      <selection activeCell="C33" sqref="C33"/>
    </sheetView>
  </sheetViews>
  <sheetFormatPr defaultColWidth="9.140625" defaultRowHeight="21.75" customHeight="1"/>
  <cols>
    <col min="1" max="1" width="19.28125" style="1" customWidth="1"/>
    <col min="2" max="2" width="16.28125" style="1" customWidth="1"/>
    <col min="3" max="3" width="16.00390625" style="201" customWidth="1"/>
    <col min="4" max="4" width="9.7109375" style="1" customWidth="1"/>
    <col min="5" max="5" width="15.28125" style="1" customWidth="1"/>
    <col min="6" max="6" width="19.00390625" style="2" customWidth="1"/>
    <col min="7" max="7" width="8.421875" style="1" customWidth="1"/>
    <col min="8" max="8" width="9.140625" style="1" customWidth="1"/>
    <col min="9" max="9" width="25.00390625" style="1" customWidth="1"/>
    <col min="10" max="10" width="16.57421875" style="1" customWidth="1"/>
    <col min="11" max="16384" width="9.140625" style="1" customWidth="1"/>
  </cols>
  <sheetData>
    <row r="1" spans="1:7" ht="15.75" customHeight="1">
      <c r="A1" s="459" t="s">
        <v>76</v>
      </c>
      <c r="B1" s="222"/>
      <c r="C1" s="460"/>
      <c r="D1" s="222"/>
      <c r="E1" s="222"/>
      <c r="F1" s="222"/>
      <c r="G1" s="461"/>
    </row>
    <row r="2" spans="1:7" ht="15.75" customHeight="1">
      <c r="A2" s="869" t="s">
        <v>329</v>
      </c>
      <c r="B2" s="870"/>
      <c r="C2" s="871"/>
      <c r="D2" s="869" t="s">
        <v>18</v>
      </c>
      <c r="E2" s="870"/>
      <c r="F2" s="870"/>
      <c r="G2" s="871"/>
    </row>
    <row r="3" spans="1:7" ht="21.75" customHeight="1" thickBot="1">
      <c r="A3" s="869"/>
      <c r="B3" s="870"/>
      <c r="C3" s="871"/>
      <c r="D3" s="159" t="s">
        <v>380</v>
      </c>
      <c r="E3" s="159"/>
      <c r="F3" s="246" t="s">
        <v>381</v>
      </c>
      <c r="G3" s="464"/>
    </row>
    <row r="4" spans="1:7" ht="15.75" customHeight="1">
      <c r="A4" s="465" t="s">
        <v>757</v>
      </c>
      <c r="B4" s="222"/>
      <c r="C4" s="260"/>
      <c r="D4" s="461"/>
      <c r="E4" s="465"/>
      <c r="F4" s="466">
        <v>32203543.53</v>
      </c>
      <c r="G4" s="467" t="s">
        <v>30</v>
      </c>
    </row>
    <row r="5" spans="1:7" ht="15.75" customHeight="1">
      <c r="A5" s="158" t="s">
        <v>108</v>
      </c>
      <c r="B5" s="159"/>
      <c r="C5" s="254"/>
      <c r="D5" s="464"/>
      <c r="E5" s="158"/>
      <c r="F5" s="468"/>
      <c r="G5" s="469"/>
    </row>
    <row r="6" spans="1:7" ht="15.75" customHeight="1">
      <c r="A6" s="470" t="s">
        <v>12</v>
      </c>
      <c r="B6" s="471" t="s">
        <v>13</v>
      </c>
      <c r="C6" s="472" t="s">
        <v>46</v>
      </c>
      <c r="D6" s="473"/>
      <c r="E6" s="470"/>
      <c r="F6" s="474"/>
      <c r="G6" s="464"/>
    </row>
    <row r="7" spans="1:7" ht="15.75" customHeight="1">
      <c r="A7" s="475"/>
      <c r="B7" s="476"/>
      <c r="C7" s="477"/>
      <c r="D7" s="464"/>
      <c r="E7" s="158"/>
      <c r="F7" s="478"/>
      <c r="G7" s="464"/>
    </row>
    <row r="8" spans="1:7" ht="15.75" customHeight="1">
      <c r="A8" s="158" t="s">
        <v>14</v>
      </c>
      <c r="B8" s="159"/>
      <c r="C8" s="254"/>
      <c r="D8" s="464"/>
      <c r="E8" s="158"/>
      <c r="F8" s="159"/>
      <c r="G8" s="464"/>
    </row>
    <row r="9" spans="1:7" ht="15.75" customHeight="1">
      <c r="A9" s="470" t="s">
        <v>51</v>
      </c>
      <c r="B9" s="471" t="s">
        <v>71</v>
      </c>
      <c r="C9" s="472" t="s">
        <v>46</v>
      </c>
      <c r="D9" s="473"/>
      <c r="E9" s="470"/>
      <c r="F9" s="159"/>
      <c r="G9" s="464"/>
    </row>
    <row r="10" spans="1:9" ht="15.75" customHeight="1">
      <c r="A10" s="687" t="s">
        <v>661</v>
      </c>
      <c r="B10" s="579" t="s">
        <v>662</v>
      </c>
      <c r="C10" s="580">
        <v>480</v>
      </c>
      <c r="D10" s="464"/>
      <c r="E10" s="470"/>
      <c r="F10" s="159"/>
      <c r="G10" s="464"/>
      <c r="I10" s="727" t="s">
        <v>660</v>
      </c>
    </row>
    <row r="11" spans="1:7" ht="15.75" customHeight="1">
      <c r="A11" s="687" t="s">
        <v>763</v>
      </c>
      <c r="B11" s="688" t="s">
        <v>764</v>
      </c>
      <c r="C11" s="580">
        <v>2500</v>
      </c>
      <c r="D11" s="464"/>
      <c r="E11" s="470"/>
      <c r="F11" s="159"/>
      <c r="G11" s="464"/>
    </row>
    <row r="12" spans="1:7" ht="15.75" customHeight="1">
      <c r="A12" s="687" t="s">
        <v>761</v>
      </c>
      <c r="B12" s="688" t="s">
        <v>762</v>
      </c>
      <c r="C12" s="580">
        <v>2100</v>
      </c>
      <c r="D12" s="464"/>
      <c r="E12" s="470"/>
      <c r="F12" s="159"/>
      <c r="G12" s="464"/>
    </row>
    <row r="13" spans="1:7" ht="15.75" customHeight="1">
      <c r="A13" s="687" t="s">
        <v>761</v>
      </c>
      <c r="B13" s="688" t="s">
        <v>765</v>
      </c>
      <c r="C13" s="580">
        <v>941.12</v>
      </c>
      <c r="D13" s="469"/>
      <c r="E13" s="158"/>
      <c r="F13" s="171"/>
      <c r="G13" s="469"/>
    </row>
    <row r="14" spans="1:7" ht="15.75" customHeight="1">
      <c r="A14" s="687" t="s">
        <v>761</v>
      </c>
      <c r="B14" s="688" t="s">
        <v>766</v>
      </c>
      <c r="C14" s="580">
        <v>18651.6</v>
      </c>
      <c r="D14" s="469"/>
      <c r="E14" s="158"/>
      <c r="F14" s="171"/>
      <c r="G14" s="469"/>
    </row>
    <row r="15" spans="1:7" ht="15.75" customHeight="1">
      <c r="A15" s="687" t="s">
        <v>761</v>
      </c>
      <c r="B15" s="688" t="s">
        <v>767</v>
      </c>
      <c r="C15" s="580">
        <v>16500</v>
      </c>
      <c r="D15" s="469"/>
      <c r="E15" s="158"/>
      <c r="F15" s="171"/>
      <c r="G15" s="469"/>
    </row>
    <row r="16" spans="1:7" ht="15.75" customHeight="1">
      <c r="A16" s="687" t="s">
        <v>761</v>
      </c>
      <c r="B16" s="688" t="s">
        <v>768</v>
      </c>
      <c r="C16" s="580">
        <v>12873.7</v>
      </c>
      <c r="D16" s="469"/>
      <c r="E16" s="158"/>
      <c r="F16" s="171"/>
      <c r="G16" s="469"/>
    </row>
    <row r="17" spans="1:7" ht="15.75" customHeight="1">
      <c r="A17" s="687" t="s">
        <v>761</v>
      </c>
      <c r="B17" s="688" t="s">
        <v>769</v>
      </c>
      <c r="C17" s="580">
        <v>1200</v>
      </c>
      <c r="D17" s="469"/>
      <c r="E17" s="158"/>
      <c r="F17" s="171"/>
      <c r="G17" s="469"/>
    </row>
    <row r="18" spans="1:7" ht="15.75" customHeight="1">
      <c r="A18" s="687" t="s">
        <v>771</v>
      </c>
      <c r="B18" s="688" t="s">
        <v>770</v>
      </c>
      <c r="C18" s="580">
        <v>111</v>
      </c>
      <c r="D18" s="469"/>
      <c r="E18" s="158"/>
      <c r="F18" s="171"/>
      <c r="G18" s="469"/>
    </row>
    <row r="19" spans="1:7" ht="15.75" customHeight="1">
      <c r="A19" s="687"/>
      <c r="B19" s="688"/>
      <c r="C19" s="580"/>
      <c r="D19" s="469"/>
      <c r="E19" s="158"/>
      <c r="F19" s="171"/>
      <c r="G19" s="469"/>
    </row>
    <row r="20" spans="1:7" ht="15.75" customHeight="1">
      <c r="A20" s="687"/>
      <c r="B20" s="688"/>
      <c r="C20" s="580"/>
      <c r="D20" s="469"/>
      <c r="E20" s="158"/>
      <c r="F20" s="171"/>
      <c r="G20" s="469"/>
    </row>
    <row r="21" spans="1:7" ht="15.75" customHeight="1">
      <c r="A21" s="687"/>
      <c r="B21" s="688"/>
      <c r="C21" s="580"/>
      <c r="D21" s="469"/>
      <c r="E21" s="158"/>
      <c r="F21" s="171"/>
      <c r="G21" s="469"/>
    </row>
    <row r="22" spans="1:7" ht="15.75" customHeight="1">
      <c r="A22" s="687"/>
      <c r="B22" s="688"/>
      <c r="C22" s="580"/>
      <c r="D22" s="469"/>
      <c r="E22" s="158"/>
      <c r="F22" s="171"/>
      <c r="G22" s="469"/>
    </row>
    <row r="23" spans="1:7" ht="15.75" customHeight="1">
      <c r="A23" s="687"/>
      <c r="B23" s="688"/>
      <c r="C23" s="580"/>
      <c r="D23" s="469"/>
      <c r="E23" s="158"/>
      <c r="F23" s="171"/>
      <c r="G23" s="469"/>
    </row>
    <row r="24" spans="1:7" ht="15.75" customHeight="1">
      <c r="A24" s="687"/>
      <c r="B24" s="688"/>
      <c r="C24" s="580"/>
      <c r="D24" s="469"/>
      <c r="E24" s="158"/>
      <c r="F24" s="171"/>
      <c r="G24" s="469"/>
    </row>
    <row r="25" spans="1:7" ht="15.75" customHeight="1">
      <c r="A25" s="687"/>
      <c r="B25" s="688"/>
      <c r="C25" s="580"/>
      <c r="D25" s="469"/>
      <c r="E25" s="158"/>
      <c r="F25" s="171"/>
      <c r="G25" s="469"/>
    </row>
    <row r="26" spans="1:7" ht="15.75" customHeight="1">
      <c r="A26" s="687"/>
      <c r="B26" s="688"/>
      <c r="C26" s="580"/>
      <c r="D26" s="469"/>
      <c r="E26" s="158"/>
      <c r="F26" s="171">
        <f>C10+C11+C12+C14+C13+C15+C16+C17+C18+C19</f>
        <v>55357.42</v>
      </c>
      <c r="G26" s="469"/>
    </row>
    <row r="27" spans="1:9" ht="15.75" customHeight="1">
      <c r="A27" s="687"/>
      <c r="B27" s="688"/>
      <c r="C27" s="580"/>
      <c r="D27" s="469"/>
      <c r="E27" s="158"/>
      <c r="F27" s="171"/>
      <c r="G27" s="469"/>
      <c r="I27" s="184">
        <v>29515893.41</v>
      </c>
    </row>
    <row r="28" spans="1:7" ht="15.75" customHeight="1">
      <c r="A28" s="872" t="s">
        <v>75</v>
      </c>
      <c r="B28" s="873"/>
      <c r="C28" s="873"/>
      <c r="D28" s="874"/>
      <c r="E28" s="158"/>
      <c r="F28" s="482"/>
      <c r="G28" s="469"/>
    </row>
    <row r="29" spans="1:9" ht="15.75" customHeight="1">
      <c r="A29" s="875" t="s">
        <v>382</v>
      </c>
      <c r="B29" s="876"/>
      <c r="C29" s="876"/>
      <c r="D29" s="877"/>
      <c r="E29" s="158"/>
      <c r="F29" s="482"/>
      <c r="G29" s="469"/>
      <c r="I29" s="184"/>
    </row>
    <row r="30" spans="1:7" ht="15.75" customHeight="1">
      <c r="A30" s="483" t="s">
        <v>383</v>
      </c>
      <c r="B30" s="484" t="s">
        <v>666</v>
      </c>
      <c r="C30" s="485">
        <v>1501</v>
      </c>
      <c r="D30" s="464" t="s">
        <v>30</v>
      </c>
      <c r="E30" s="158"/>
      <c r="F30" s="486">
        <f>SUM(C30:C35)</f>
        <v>134226.6</v>
      </c>
      <c r="G30" s="469" t="s">
        <v>30</v>
      </c>
    </row>
    <row r="31" spans="1:9" ht="15.75" customHeight="1">
      <c r="A31" s="487"/>
      <c r="B31" s="484" t="s">
        <v>666</v>
      </c>
      <c r="C31" s="485">
        <v>12500</v>
      </c>
      <c r="D31" s="464" t="s">
        <v>30</v>
      </c>
      <c r="E31" s="158"/>
      <c r="F31" s="486"/>
      <c r="G31" s="469"/>
      <c r="I31" s="136"/>
    </row>
    <row r="32" spans="1:9" ht="15.75" customHeight="1">
      <c r="A32" s="487"/>
      <c r="B32" s="484" t="s">
        <v>772</v>
      </c>
      <c r="C32" s="485">
        <v>120225.6</v>
      </c>
      <c r="D32" s="464" t="s">
        <v>30</v>
      </c>
      <c r="E32" s="158"/>
      <c r="F32" s="486"/>
      <c r="G32" s="469"/>
      <c r="I32" s="136"/>
    </row>
    <row r="33" spans="1:9" ht="15.75" customHeight="1">
      <c r="A33" s="487"/>
      <c r="B33" s="716"/>
      <c r="C33" s="485">
        <v>0</v>
      </c>
      <c r="D33" s="464" t="s">
        <v>30</v>
      </c>
      <c r="E33" s="158"/>
      <c r="F33" s="486"/>
      <c r="G33" s="469"/>
      <c r="I33" s="136">
        <v>32738219.34</v>
      </c>
    </row>
    <row r="34" spans="1:9" ht="15.75" customHeight="1">
      <c r="A34" s="487"/>
      <c r="B34" s="716"/>
      <c r="C34" s="485">
        <v>0</v>
      </c>
      <c r="D34" s="464" t="s">
        <v>30</v>
      </c>
      <c r="E34" s="158"/>
      <c r="F34" s="486"/>
      <c r="G34" s="469"/>
      <c r="I34" s="720">
        <f>F38</f>
        <v>32013959.509999998</v>
      </c>
    </row>
    <row r="35" spans="1:9" ht="15.75" customHeight="1">
      <c r="A35" s="487"/>
      <c r="B35" s="488"/>
      <c r="C35" s="485">
        <v>0</v>
      </c>
      <c r="D35" s="464" t="s">
        <v>30</v>
      </c>
      <c r="E35" s="158"/>
      <c r="F35" s="486"/>
      <c r="G35" s="469"/>
      <c r="I35" s="136">
        <f>I33-I34</f>
        <v>724259.8300000019</v>
      </c>
    </row>
    <row r="36" spans="1:7" ht="18" customHeight="1">
      <c r="A36" s="489" t="s">
        <v>384</v>
      </c>
      <c r="D36" s="464" t="s">
        <v>30</v>
      </c>
      <c r="E36" s="158"/>
      <c r="F36" s="482"/>
      <c r="G36" s="464"/>
    </row>
    <row r="37" spans="1:9" ht="15.75" customHeight="1">
      <c r="A37" s="880"/>
      <c r="B37" s="881"/>
      <c r="C37" s="485">
        <v>0</v>
      </c>
      <c r="D37" s="464" t="s">
        <v>30</v>
      </c>
      <c r="E37" s="158"/>
      <c r="F37" s="491"/>
      <c r="G37" s="469" t="s">
        <v>30</v>
      </c>
      <c r="I37" s="184">
        <f>F4</f>
        <v>32203543.53</v>
      </c>
    </row>
    <row r="38" spans="1:10" ht="15.75" customHeight="1" thickBot="1">
      <c r="A38" s="492" t="s">
        <v>758</v>
      </c>
      <c r="B38" s="480"/>
      <c r="C38" s="485"/>
      <c r="D38" s="464"/>
      <c r="E38" s="158"/>
      <c r="F38" s="493">
        <f>F4-F26-F30+F36+C37</f>
        <v>32013959.509999998</v>
      </c>
      <c r="G38" s="469" t="s">
        <v>30</v>
      </c>
      <c r="I38" s="184">
        <f>กระดาษทำการ!K5</f>
        <v>32013959.509999998</v>
      </c>
      <c r="J38" s="184"/>
    </row>
    <row r="39" spans="1:10" ht="15.75" customHeight="1" thickBot="1" thickTop="1">
      <c r="A39" s="494"/>
      <c r="B39" s="495"/>
      <c r="C39" s="496"/>
      <c r="D39" s="497"/>
      <c r="E39" s="494"/>
      <c r="F39" s="498" t="s">
        <v>74</v>
      </c>
      <c r="G39" s="497"/>
      <c r="I39" s="184"/>
      <c r="J39" s="184"/>
    </row>
    <row r="40" spans="1:9" ht="15.75" customHeight="1">
      <c r="A40" s="465" t="s">
        <v>34</v>
      </c>
      <c r="B40" s="222"/>
      <c r="C40" s="460"/>
      <c r="D40" s="222" t="s">
        <v>17</v>
      </c>
      <c r="E40" s="222"/>
      <c r="F40" s="262"/>
      <c r="G40" s="461"/>
      <c r="I40" s="184">
        <f>I37-I38</f>
        <v>189584.02000000328</v>
      </c>
    </row>
    <row r="41" spans="1:7" ht="15.75" customHeight="1">
      <c r="A41" s="158"/>
      <c r="B41" s="159"/>
      <c r="C41" s="499"/>
      <c r="D41" s="159"/>
      <c r="E41" s="159"/>
      <c r="F41" s="171"/>
      <c r="G41" s="464"/>
    </row>
    <row r="42" spans="1:9" ht="15.75" customHeight="1">
      <c r="A42" s="158" t="s">
        <v>574</v>
      </c>
      <c r="B42" s="159"/>
      <c r="C42" s="464"/>
      <c r="D42" s="885" t="s">
        <v>575</v>
      </c>
      <c r="E42" s="796"/>
      <c r="F42" s="796"/>
      <c r="G42" s="886"/>
      <c r="I42" s="184">
        <f>F4-F26-F30-I34</f>
        <v>0</v>
      </c>
    </row>
    <row r="43" spans="1:9" ht="15.75" customHeight="1">
      <c r="A43" s="885" t="s">
        <v>573</v>
      </c>
      <c r="B43" s="796"/>
      <c r="C43" s="886"/>
      <c r="D43" s="885" t="s">
        <v>664</v>
      </c>
      <c r="E43" s="796"/>
      <c r="F43" s="796"/>
      <c r="G43" s="886"/>
      <c r="I43" s="184"/>
    </row>
    <row r="44" spans="1:9" ht="15.75" customHeight="1">
      <c r="A44" s="878" t="s">
        <v>572</v>
      </c>
      <c r="B44" s="793"/>
      <c r="C44" s="879"/>
      <c r="D44" s="895" t="s">
        <v>645</v>
      </c>
      <c r="E44" s="896"/>
      <c r="F44" s="896"/>
      <c r="G44" s="897"/>
      <c r="I44" s="184"/>
    </row>
    <row r="45" spans="1:7" ht="15.75" customHeight="1" thickBot="1">
      <c r="A45" s="887"/>
      <c r="B45" s="888"/>
      <c r="C45" s="889"/>
      <c r="D45" s="882"/>
      <c r="E45" s="883"/>
      <c r="F45" s="883"/>
      <c r="G45" s="884"/>
    </row>
    <row r="46" spans="1:7" ht="15.75" customHeight="1">
      <c r="A46" s="170"/>
      <c r="B46" s="170"/>
      <c r="C46" s="170"/>
      <c r="D46" s="246"/>
      <c r="E46" s="246"/>
      <c r="F46" s="246"/>
      <c r="G46" s="246"/>
    </row>
    <row r="47" spans="1:7" ht="15.75" customHeight="1" thickBot="1">
      <c r="A47" s="170"/>
      <c r="B47" s="170"/>
      <c r="C47" s="170"/>
      <c r="D47" s="246"/>
      <c r="E47" s="246"/>
      <c r="F47" s="246"/>
      <c r="G47" s="246"/>
    </row>
    <row r="48" spans="1:7" ht="21.75" customHeight="1">
      <c r="A48" s="890" t="s">
        <v>76</v>
      </c>
      <c r="B48" s="891"/>
      <c r="C48" s="460"/>
      <c r="D48" s="222"/>
      <c r="E48" s="222"/>
      <c r="F48" s="222"/>
      <c r="G48" s="461"/>
    </row>
    <row r="49" spans="1:7" ht="21.75" customHeight="1">
      <c r="A49" s="158"/>
      <c r="B49" s="159"/>
      <c r="C49" s="499"/>
      <c r="D49" s="462"/>
      <c r="E49" s="218" t="s">
        <v>125</v>
      </c>
      <c r="F49" s="219" t="s">
        <v>127</v>
      </c>
      <c r="G49" s="463"/>
    </row>
    <row r="50" spans="1:7" ht="21.75" customHeight="1">
      <c r="A50" s="869" t="s">
        <v>329</v>
      </c>
      <c r="B50" s="870"/>
      <c r="C50" s="871"/>
      <c r="D50" s="246" t="s">
        <v>385</v>
      </c>
      <c r="E50" s="218" t="s">
        <v>126</v>
      </c>
      <c r="F50" s="159"/>
      <c r="G50" s="464"/>
    </row>
    <row r="51" spans="1:7" ht="21.75" customHeight="1" thickBot="1">
      <c r="A51" s="892"/>
      <c r="B51" s="893"/>
      <c r="C51" s="894"/>
      <c r="D51" s="501" t="s">
        <v>386</v>
      </c>
      <c r="E51" s="506"/>
      <c r="F51" s="506"/>
      <c r="G51" s="507"/>
    </row>
    <row r="52" spans="1:7" ht="21.75" customHeight="1">
      <c r="A52" s="465" t="s">
        <v>759</v>
      </c>
      <c r="B52" s="222"/>
      <c r="C52" s="260"/>
      <c r="D52" s="461"/>
      <c r="E52" s="508"/>
      <c r="F52" s="466">
        <v>3445746.85</v>
      </c>
      <c r="G52" s="503"/>
    </row>
    <row r="53" spans="1:7" ht="21.75" customHeight="1">
      <c r="A53" s="158" t="s">
        <v>108</v>
      </c>
      <c r="B53" s="159"/>
      <c r="C53" s="254"/>
      <c r="D53" s="464"/>
      <c r="E53" s="158"/>
      <c r="F53" s="468"/>
      <c r="G53" s="503"/>
    </row>
    <row r="54" spans="1:7" ht="21.75" customHeight="1">
      <c r="A54" s="470" t="s">
        <v>12</v>
      </c>
      <c r="B54" s="471" t="s">
        <v>13</v>
      </c>
      <c r="C54" s="471" t="s">
        <v>46</v>
      </c>
      <c r="D54" s="473"/>
      <c r="E54" s="470"/>
      <c r="F54" s="474"/>
      <c r="G54" s="469" t="s">
        <v>30</v>
      </c>
    </row>
    <row r="55" spans="1:7" ht="21.75" customHeight="1">
      <c r="A55" s="509"/>
      <c r="B55" s="510"/>
      <c r="C55" s="477"/>
      <c r="D55" s="464"/>
      <c r="E55" s="158"/>
      <c r="F55" s="478"/>
      <c r="G55" s="469"/>
    </row>
    <row r="56" spans="1:7" ht="21.75" customHeight="1">
      <c r="A56" s="475"/>
      <c r="B56" s="476"/>
      <c r="C56" s="477"/>
      <c r="D56" s="464"/>
      <c r="E56" s="158"/>
      <c r="F56" s="171"/>
      <c r="G56" s="464"/>
    </row>
    <row r="57" spans="1:7" ht="21.75" customHeight="1">
      <c r="A57" s="158" t="s">
        <v>14</v>
      </c>
      <c r="B57" s="159"/>
      <c r="C57" s="254"/>
      <c r="D57" s="464"/>
      <c r="E57" s="158"/>
      <c r="F57" s="159"/>
      <c r="G57" s="464"/>
    </row>
    <row r="58" spans="1:7" ht="21.75" customHeight="1">
      <c r="A58" s="470" t="s">
        <v>51</v>
      </c>
      <c r="B58" s="471" t="s">
        <v>71</v>
      </c>
      <c r="C58" s="471" t="s">
        <v>46</v>
      </c>
      <c r="D58" s="473"/>
      <c r="E58" s="470"/>
      <c r="F58" s="159"/>
      <c r="G58" s="464"/>
    </row>
    <row r="59" spans="1:7" ht="21.75" customHeight="1">
      <c r="A59" s="479"/>
      <c r="B59" s="481"/>
      <c r="C59" s="511"/>
      <c r="D59" s="473"/>
      <c r="E59" s="470"/>
      <c r="F59" s="159"/>
      <c r="G59" s="464"/>
    </row>
    <row r="60" spans="1:7" ht="21.75" customHeight="1">
      <c r="A60" s="872" t="s">
        <v>75</v>
      </c>
      <c r="B60" s="873"/>
      <c r="C60" s="873"/>
      <c r="D60" s="874"/>
      <c r="E60" s="158"/>
      <c r="F60" s="482"/>
      <c r="G60" s="464"/>
    </row>
    <row r="61" spans="1:7" ht="21.75" customHeight="1">
      <c r="A61" s="875" t="s">
        <v>382</v>
      </c>
      <c r="B61" s="876"/>
      <c r="C61" s="876"/>
      <c r="D61" s="877"/>
      <c r="E61" s="158"/>
      <c r="F61" s="482"/>
      <c r="G61" s="469"/>
    </row>
    <row r="62" spans="1:7" ht="21.75" customHeight="1">
      <c r="A62" s="483" t="s">
        <v>383</v>
      </c>
      <c r="B62" s="729" t="s">
        <v>667</v>
      </c>
      <c r="C62" s="513">
        <v>504.4</v>
      </c>
      <c r="D62" s="469" t="s">
        <v>30</v>
      </c>
      <c r="E62" s="514"/>
      <c r="F62" s="512">
        <f>C62+C63+C64+C68+C67+C69+C65+C66</f>
        <v>96224.19</v>
      </c>
      <c r="G62" s="469" t="s">
        <v>30</v>
      </c>
    </row>
    <row r="63" spans="1:7" ht="21.75" customHeight="1">
      <c r="A63" s="483"/>
      <c r="B63" s="729" t="s">
        <v>667</v>
      </c>
      <c r="C63" s="485">
        <v>213.4</v>
      </c>
      <c r="D63" s="469" t="s">
        <v>30</v>
      </c>
      <c r="E63" s="514"/>
      <c r="F63" s="512"/>
      <c r="G63" s="469"/>
    </row>
    <row r="64" spans="1:7" ht="21.75" customHeight="1">
      <c r="A64" s="483"/>
      <c r="B64" s="729" t="s">
        <v>676</v>
      </c>
      <c r="C64" s="513">
        <v>84816</v>
      </c>
      <c r="D64" s="469" t="s">
        <v>30</v>
      </c>
      <c r="E64" s="514"/>
      <c r="F64" s="512"/>
      <c r="G64" s="469"/>
    </row>
    <row r="65" spans="1:7" ht="21.75" customHeight="1">
      <c r="A65" s="483"/>
      <c r="B65" s="729" t="s">
        <v>667</v>
      </c>
      <c r="C65" s="485">
        <v>19.4</v>
      </c>
      <c r="D65" s="469" t="s">
        <v>30</v>
      </c>
      <c r="E65" s="514"/>
      <c r="F65" s="512"/>
      <c r="G65" s="469"/>
    </row>
    <row r="66" spans="1:7" ht="21.75" customHeight="1">
      <c r="A66" s="483"/>
      <c r="B66" s="729" t="s">
        <v>541</v>
      </c>
      <c r="C66" s="485">
        <v>10670.99</v>
      </c>
      <c r="D66" s="469" t="s">
        <v>30</v>
      </c>
      <c r="E66" s="514"/>
      <c r="F66" s="512"/>
      <c r="G66" s="469"/>
    </row>
    <row r="67" spans="1:7" ht="21.75" customHeight="1">
      <c r="A67" s="483"/>
      <c r="B67" s="734" t="s">
        <v>690</v>
      </c>
      <c r="C67" s="485"/>
      <c r="D67" s="469" t="s">
        <v>30</v>
      </c>
      <c r="E67" s="514"/>
      <c r="F67" s="512"/>
      <c r="G67" s="469"/>
    </row>
    <row r="68" spans="1:7" ht="21.75" customHeight="1">
      <c r="A68" s="483"/>
      <c r="B68" s="730" t="s">
        <v>416</v>
      </c>
      <c r="C68" s="513"/>
      <c r="D68" s="469" t="s">
        <v>30</v>
      </c>
      <c r="E68" s="514"/>
      <c r="F68" s="512"/>
      <c r="G68" s="469"/>
    </row>
    <row r="69" spans="1:7" ht="21.75" customHeight="1">
      <c r="A69" s="483"/>
      <c r="B69" s="734" t="s">
        <v>417</v>
      </c>
      <c r="C69" s="485"/>
      <c r="D69" s="469" t="s">
        <v>30</v>
      </c>
      <c r="E69" s="514"/>
      <c r="F69" s="512"/>
      <c r="G69" s="469"/>
    </row>
    <row r="70" spans="1:7" ht="21.75" customHeight="1">
      <c r="A70" s="483"/>
      <c r="C70" s="1"/>
      <c r="E70" s="514"/>
      <c r="F70" s="512"/>
      <c r="G70" s="469"/>
    </row>
    <row r="71" spans="1:9" ht="21.75" customHeight="1">
      <c r="A71" s="492"/>
      <c r="B71" s="730"/>
      <c r="C71" s="513"/>
      <c r="D71" s="469"/>
      <c r="E71" s="515"/>
      <c r="F71" s="486"/>
      <c r="G71" s="469"/>
      <c r="I71" s="2">
        <v>4089009</v>
      </c>
    </row>
    <row r="72" spans="1:9" ht="21.75" customHeight="1">
      <c r="A72" s="492"/>
      <c r="B72" s="729"/>
      <c r="C72" s="513"/>
      <c r="D72" s="469" t="s">
        <v>30</v>
      </c>
      <c r="E72" s="515"/>
      <c r="F72" s="486"/>
      <c r="G72" s="469"/>
      <c r="I72" s="2"/>
    </row>
    <row r="73" spans="1:9" ht="21.75" customHeight="1">
      <c r="A73" s="492"/>
      <c r="B73" s="730"/>
      <c r="C73" s="513"/>
      <c r="D73" s="469"/>
      <c r="E73" s="515"/>
      <c r="F73" s="486"/>
      <c r="G73" s="469"/>
      <c r="I73" s="2"/>
    </row>
    <row r="74" spans="1:7" ht="21.75" customHeight="1">
      <c r="A74" s="489" t="s">
        <v>384</v>
      </c>
      <c r="B74" s="490"/>
      <c r="C74" s="485">
        <v>0</v>
      </c>
      <c r="D74" s="469" t="s">
        <v>30</v>
      </c>
      <c r="E74" s="516"/>
      <c r="F74" s="220">
        <v>0</v>
      </c>
      <c r="G74" s="469" t="s">
        <v>30</v>
      </c>
    </row>
    <row r="75" spans="1:7" ht="21.75" customHeight="1" thickBot="1">
      <c r="A75" s="504" t="s">
        <v>120</v>
      </c>
      <c r="D75" s="469" t="s">
        <v>30</v>
      </c>
      <c r="E75" s="517"/>
      <c r="F75" s="505">
        <v>0</v>
      </c>
      <c r="G75" s="469" t="s">
        <v>30</v>
      </c>
    </row>
    <row r="76" spans="1:9" ht="21.75" customHeight="1" thickBot="1">
      <c r="A76" s="492" t="s">
        <v>760</v>
      </c>
      <c r="B76" s="480"/>
      <c r="C76" s="485"/>
      <c r="D76" s="464"/>
      <c r="E76" s="517"/>
      <c r="F76" s="466">
        <f>F52-F62</f>
        <v>3349522.66</v>
      </c>
      <c r="G76" s="469" t="s">
        <v>30</v>
      </c>
      <c r="I76" s="2">
        <v>3577801.17</v>
      </c>
    </row>
    <row r="77" spans="1:9" ht="21.75" customHeight="1" thickBot="1" thickTop="1">
      <c r="A77" s="494"/>
      <c r="B77" s="495"/>
      <c r="C77" s="496"/>
      <c r="D77" s="497"/>
      <c r="E77" s="494"/>
      <c r="F77" s="518" t="s">
        <v>74</v>
      </c>
      <c r="G77" s="497"/>
      <c r="I77" s="184"/>
    </row>
    <row r="78" spans="1:9" ht="21.75" customHeight="1">
      <c r="A78" s="465" t="s">
        <v>34</v>
      </c>
      <c r="B78" s="222"/>
      <c r="C78" s="460"/>
      <c r="D78" s="222" t="s">
        <v>17</v>
      </c>
      <c r="E78" s="222"/>
      <c r="F78" s="262"/>
      <c r="G78" s="461"/>
      <c r="I78" s="184">
        <f>I76-F62</f>
        <v>3481576.98</v>
      </c>
    </row>
    <row r="79" spans="1:7" ht="21.75" customHeight="1">
      <c r="A79" s="158"/>
      <c r="B79" s="159"/>
      <c r="C79" s="499"/>
      <c r="D79" s="159"/>
      <c r="E79" s="159"/>
      <c r="F79" s="171"/>
      <c r="G79" s="464"/>
    </row>
    <row r="80" spans="1:7" ht="21.75" customHeight="1">
      <c r="A80" s="158" t="s">
        <v>574</v>
      </c>
      <c r="B80" s="159"/>
      <c r="C80" s="464"/>
      <c r="D80" s="885" t="s">
        <v>575</v>
      </c>
      <c r="E80" s="796"/>
      <c r="F80" s="796"/>
      <c r="G80" s="886"/>
    </row>
    <row r="81" spans="1:7" ht="21.75" customHeight="1">
      <c r="A81" s="885" t="s">
        <v>573</v>
      </c>
      <c r="B81" s="796"/>
      <c r="C81" s="886"/>
      <c r="D81" s="885" t="s">
        <v>675</v>
      </c>
      <c r="E81" s="796"/>
      <c r="F81" s="796"/>
      <c r="G81" s="886"/>
    </row>
    <row r="82" spans="1:7" ht="21.75" customHeight="1">
      <c r="A82" s="878" t="s">
        <v>572</v>
      </c>
      <c r="B82" s="793"/>
      <c r="C82" s="879"/>
      <c r="D82" s="895" t="s">
        <v>674</v>
      </c>
      <c r="E82" s="896"/>
      <c r="F82" s="896"/>
      <c r="G82" s="897"/>
    </row>
    <row r="83" spans="1:7" ht="21.75" customHeight="1" thickBot="1">
      <c r="A83" s="887"/>
      <c r="B83" s="888"/>
      <c r="C83" s="889"/>
      <c r="D83" s="882"/>
      <c r="E83" s="883"/>
      <c r="F83" s="883"/>
      <c r="G83" s="884"/>
    </row>
    <row r="84" spans="1:7" ht="21.75" customHeight="1">
      <c r="A84" s="221"/>
      <c r="B84" s="221"/>
      <c r="C84" s="221"/>
      <c r="D84" s="221"/>
      <c r="E84" s="221"/>
      <c r="F84" s="221"/>
      <c r="G84" s="221"/>
    </row>
    <row r="85" spans="1:7" ht="21.75" customHeight="1">
      <c r="A85" s="170"/>
      <c r="B85" s="170"/>
      <c r="C85" s="170"/>
      <c r="D85" s="170" t="s">
        <v>53</v>
      </c>
      <c r="E85" s="170"/>
      <c r="F85" s="170"/>
      <c r="G85" s="170"/>
    </row>
    <row r="86" spans="1:7" ht="21.75" customHeight="1">
      <c r="A86" s="170"/>
      <c r="B86" s="170"/>
      <c r="C86" s="170"/>
      <c r="D86" s="170"/>
      <c r="E86" s="170"/>
      <c r="F86" s="170"/>
      <c r="G86" s="170"/>
    </row>
    <row r="87" spans="1:7" ht="21.75" customHeight="1">
      <c r="A87" s="170"/>
      <c r="B87" s="170"/>
      <c r="C87" s="170"/>
      <c r="D87" s="170"/>
      <c r="E87" s="170"/>
      <c r="F87" s="170"/>
      <c r="G87" s="170"/>
    </row>
    <row r="88" spans="1:7" ht="21.75" customHeight="1" thickBot="1">
      <c r="A88" s="265"/>
      <c r="B88" s="265"/>
      <c r="C88" s="265"/>
      <c r="D88" s="265"/>
      <c r="E88" s="265"/>
      <c r="F88" s="265"/>
      <c r="G88" s="265"/>
    </row>
  </sheetData>
  <sheetProtection/>
  <mergeCells count="23">
    <mergeCell ref="A82:C82"/>
    <mergeCell ref="A61:D61"/>
    <mergeCell ref="D81:G81"/>
    <mergeCell ref="A43:C43"/>
    <mergeCell ref="D44:G44"/>
    <mergeCell ref="D42:G42"/>
    <mergeCell ref="D80:G80"/>
    <mergeCell ref="D83:G83"/>
    <mergeCell ref="A60:D60"/>
    <mergeCell ref="D43:G43"/>
    <mergeCell ref="A83:C83"/>
    <mergeCell ref="A81:C81"/>
    <mergeCell ref="A48:B48"/>
    <mergeCell ref="D45:G45"/>
    <mergeCell ref="A50:C51"/>
    <mergeCell ref="A45:C45"/>
    <mergeCell ref="D82:G82"/>
    <mergeCell ref="A2:C3"/>
    <mergeCell ref="D2:G2"/>
    <mergeCell ref="A28:D28"/>
    <mergeCell ref="A29:D29"/>
    <mergeCell ref="A44:C44"/>
    <mergeCell ref="A37:B37"/>
  </mergeCells>
  <printOptions horizontalCentered="1"/>
  <pageMargins left="0.3937007874015748" right="0.31496062992125984" top="0.7874015748031497" bottom="0.1968503937007874" header="0.4724409448818898" footer="0.15748031496062992"/>
  <pageSetup orientation="portrait" paperSize="9" scale="95" r:id="rId1"/>
  <rowBreaks count="2" manualBreakCount="2">
    <brk id="47" max="8" man="1"/>
    <brk id="8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4">
      <selection activeCell="F38" sqref="F38"/>
    </sheetView>
  </sheetViews>
  <sheetFormatPr defaultColWidth="9.140625" defaultRowHeight="21.75"/>
  <cols>
    <col min="1" max="1" width="21.7109375" style="733" customWidth="1"/>
    <col min="2" max="5" width="15.57421875" style="733" customWidth="1"/>
    <col min="6" max="6" width="19.7109375" style="733" customWidth="1"/>
    <col min="7" max="7" width="15.57421875" style="733" customWidth="1"/>
    <col min="9" max="9" width="25.421875" style="0" customWidth="1"/>
  </cols>
  <sheetData>
    <row r="1" spans="1:7" ht="21">
      <c r="A1" s="459" t="s">
        <v>76</v>
      </c>
      <c r="B1" s="222"/>
      <c r="C1" s="460"/>
      <c r="D1" s="222"/>
      <c r="E1" s="222"/>
      <c r="F1" s="222"/>
      <c r="G1" s="461"/>
    </row>
    <row r="2" spans="1:7" ht="21">
      <c r="A2" s="869" t="s">
        <v>329</v>
      </c>
      <c r="B2" s="870"/>
      <c r="C2" s="871"/>
      <c r="D2" s="869" t="s">
        <v>18</v>
      </c>
      <c r="E2" s="870"/>
      <c r="F2" s="870"/>
      <c r="G2" s="871"/>
    </row>
    <row r="3" spans="1:7" ht="21.75" thickBot="1">
      <c r="A3" s="869"/>
      <c r="B3" s="870"/>
      <c r="C3" s="871"/>
      <c r="D3" s="159" t="s">
        <v>380</v>
      </c>
      <c r="E3" s="159"/>
      <c r="F3" s="246" t="s">
        <v>381</v>
      </c>
      <c r="G3" s="464"/>
    </row>
    <row r="4" spans="1:7" ht="21">
      <c r="A4" s="465" t="s">
        <v>707</v>
      </c>
      <c r="B4" s="222"/>
      <c r="C4" s="260"/>
      <c r="D4" s="461"/>
      <c r="E4" s="465"/>
      <c r="F4" s="466">
        <v>33174078.63</v>
      </c>
      <c r="G4" s="467" t="s">
        <v>30</v>
      </c>
    </row>
    <row r="5" spans="1:7" ht="21">
      <c r="A5" s="158" t="s">
        <v>108</v>
      </c>
      <c r="B5" s="159"/>
      <c r="C5" s="254"/>
      <c r="D5" s="464"/>
      <c r="E5" s="158"/>
      <c r="F5" s="468"/>
      <c r="G5" s="469"/>
    </row>
    <row r="6" spans="1:7" ht="21">
      <c r="A6" s="470" t="s">
        <v>12</v>
      </c>
      <c r="B6" s="471" t="s">
        <v>13</v>
      </c>
      <c r="C6" s="472" t="s">
        <v>46</v>
      </c>
      <c r="D6" s="473"/>
      <c r="E6" s="470"/>
      <c r="F6" s="474"/>
      <c r="G6" s="464"/>
    </row>
    <row r="7" spans="1:7" ht="21">
      <c r="A7" s="475"/>
      <c r="B7" s="476"/>
      <c r="C7" s="477"/>
      <c r="D7" s="464"/>
      <c r="E7" s="158"/>
      <c r="F7" s="478"/>
      <c r="G7" s="464"/>
    </row>
    <row r="8" spans="1:7" ht="21">
      <c r="A8" s="158" t="s">
        <v>14</v>
      </c>
      <c r="B8" s="159"/>
      <c r="C8" s="254"/>
      <c r="D8" s="464"/>
      <c r="E8" s="158"/>
      <c r="F8" s="159"/>
      <c r="G8" s="464"/>
    </row>
    <row r="9" spans="1:7" ht="21">
      <c r="A9" s="470" t="s">
        <v>51</v>
      </c>
      <c r="B9" s="471" t="s">
        <v>71</v>
      </c>
      <c r="C9" s="472" t="s">
        <v>46</v>
      </c>
      <c r="D9" s="473"/>
      <c r="E9" s="470"/>
      <c r="F9" s="159"/>
      <c r="G9" s="464"/>
    </row>
    <row r="10" spans="1:7" ht="21">
      <c r="A10" s="687" t="s">
        <v>661</v>
      </c>
      <c r="B10" s="579" t="s">
        <v>662</v>
      </c>
      <c r="C10" s="580">
        <v>480</v>
      </c>
      <c r="D10" s="464"/>
      <c r="E10" s="470"/>
      <c r="F10" s="159"/>
      <c r="G10" s="464"/>
    </row>
    <row r="11" spans="1:7" ht="21">
      <c r="A11" s="687" t="s">
        <v>701</v>
      </c>
      <c r="B11" s="688" t="s">
        <v>702</v>
      </c>
      <c r="C11" s="580">
        <v>6120</v>
      </c>
      <c r="D11" s="464"/>
      <c r="E11" s="470"/>
      <c r="F11" s="159"/>
      <c r="G11" s="464"/>
    </row>
    <row r="12" spans="1:7" ht="21">
      <c r="A12" s="687" t="s">
        <v>710</v>
      </c>
      <c r="B12" s="688" t="s">
        <v>711</v>
      </c>
      <c r="C12" s="580"/>
      <c r="D12" s="464"/>
      <c r="E12" s="470"/>
      <c r="F12" s="159"/>
      <c r="G12" s="464"/>
    </row>
    <row r="13" spans="1:7" ht="21">
      <c r="A13" s="687" t="s">
        <v>712</v>
      </c>
      <c r="B13" s="688" t="s">
        <v>713</v>
      </c>
      <c r="C13" s="580">
        <v>2968</v>
      </c>
      <c r="D13" s="469"/>
      <c r="E13" s="158"/>
      <c r="F13" s="171"/>
      <c r="G13" s="469"/>
    </row>
    <row r="14" spans="1:7" ht="21">
      <c r="A14" s="687" t="s">
        <v>714</v>
      </c>
      <c r="B14" s="688" t="s">
        <v>715</v>
      </c>
      <c r="C14" s="580">
        <v>393459.22</v>
      </c>
      <c r="D14" s="469"/>
      <c r="E14" s="158"/>
      <c r="F14" s="171"/>
      <c r="G14" s="469"/>
    </row>
    <row r="15" spans="1:7" ht="21">
      <c r="A15" s="687" t="s">
        <v>714</v>
      </c>
      <c r="B15" s="688" t="s">
        <v>716</v>
      </c>
      <c r="C15" s="580">
        <v>4109.62</v>
      </c>
      <c r="D15" s="469"/>
      <c r="E15" s="158"/>
      <c r="F15" s="171"/>
      <c r="G15" s="469"/>
    </row>
    <row r="16" spans="1:7" ht="21">
      <c r="A16" s="687" t="s">
        <v>708</v>
      </c>
      <c r="B16" s="688" t="s">
        <v>718</v>
      </c>
      <c r="C16" s="580">
        <v>45</v>
      </c>
      <c r="D16" s="469"/>
      <c r="E16" s="158"/>
      <c r="F16" s="171"/>
      <c r="G16" s="469"/>
    </row>
    <row r="17" spans="1:7" ht="21">
      <c r="A17" s="687" t="s">
        <v>708</v>
      </c>
      <c r="B17" s="688" t="s">
        <v>719</v>
      </c>
      <c r="C17" s="733">
        <v>747.45</v>
      </c>
      <c r="D17" s="469"/>
      <c r="E17" s="158"/>
      <c r="F17" s="171"/>
      <c r="G17" s="469"/>
    </row>
    <row r="18" spans="1:7" ht="21">
      <c r="A18" s="687" t="s">
        <v>708</v>
      </c>
      <c r="B18" s="688" t="s">
        <v>720</v>
      </c>
      <c r="C18" s="733">
        <v>1272</v>
      </c>
      <c r="D18" s="469"/>
      <c r="E18" s="158"/>
      <c r="F18" s="171"/>
      <c r="G18" s="469"/>
    </row>
    <row r="19" spans="1:7" ht="21">
      <c r="A19" s="687" t="s">
        <v>708</v>
      </c>
      <c r="B19" s="688" t="s">
        <v>709</v>
      </c>
      <c r="C19" s="733">
        <v>8268</v>
      </c>
      <c r="D19" s="469"/>
      <c r="E19" s="158"/>
      <c r="F19" s="171"/>
      <c r="G19" s="469"/>
    </row>
    <row r="20" spans="1:7" ht="21">
      <c r="A20" s="687"/>
      <c r="B20" s="688"/>
      <c r="C20" s="580">
        <v>9840</v>
      </c>
      <c r="D20" s="469"/>
      <c r="E20" s="158"/>
      <c r="F20" s="171"/>
      <c r="G20" s="469"/>
    </row>
    <row r="21" spans="1:7" ht="21">
      <c r="A21" s="687"/>
      <c r="B21" s="688"/>
      <c r="C21" s="580"/>
      <c r="D21" s="469"/>
      <c r="E21" s="158"/>
      <c r="F21" s="171"/>
      <c r="G21" s="469"/>
    </row>
    <row r="22" spans="1:7" ht="21">
      <c r="A22" s="687"/>
      <c r="B22" s="688"/>
      <c r="C22" s="580"/>
      <c r="D22" s="469"/>
      <c r="E22" s="158"/>
      <c r="F22" s="171"/>
      <c r="G22" s="469"/>
    </row>
    <row r="23" spans="1:7" ht="21">
      <c r="A23" s="687"/>
      <c r="B23" s="688"/>
      <c r="C23" s="580"/>
      <c r="D23" s="469"/>
      <c r="E23" s="158"/>
      <c r="F23" s="171"/>
      <c r="G23" s="469"/>
    </row>
    <row r="24" spans="1:7" ht="21">
      <c r="A24" s="687"/>
      <c r="B24" s="688"/>
      <c r="C24" s="580"/>
      <c r="D24" s="469"/>
      <c r="E24" s="158"/>
      <c r="F24" s="171"/>
      <c r="G24" s="469"/>
    </row>
    <row r="25" spans="1:7" ht="21">
      <c r="A25" s="687"/>
      <c r="B25" s="688"/>
      <c r="C25" s="580"/>
      <c r="D25" s="469"/>
      <c r="E25" s="158"/>
      <c r="F25" s="171"/>
      <c r="G25" s="469"/>
    </row>
    <row r="26" spans="1:7" ht="21">
      <c r="A26" s="687"/>
      <c r="B26" s="688"/>
      <c r="C26" s="580"/>
      <c r="D26" s="469"/>
      <c r="E26" s="158"/>
      <c r="F26" s="171">
        <f>SUM(C10:C25)</f>
        <v>427309.29</v>
      </c>
      <c r="G26" s="469"/>
    </row>
    <row r="27" spans="1:7" ht="21">
      <c r="A27" s="687"/>
      <c r="B27" s="688"/>
      <c r="C27" s="580"/>
      <c r="D27" s="469"/>
      <c r="E27" s="158"/>
      <c r="F27" s="171"/>
      <c r="G27" s="469"/>
    </row>
    <row r="28" spans="1:7" ht="21">
      <c r="A28" s="872" t="s">
        <v>75</v>
      </c>
      <c r="B28" s="873"/>
      <c r="C28" s="873"/>
      <c r="D28" s="874"/>
      <c r="E28" s="158"/>
      <c r="F28" s="482"/>
      <c r="G28" s="469"/>
    </row>
    <row r="29" spans="1:7" ht="21">
      <c r="A29" s="875" t="s">
        <v>382</v>
      </c>
      <c r="B29" s="876"/>
      <c r="C29" s="876"/>
      <c r="D29" s="877"/>
      <c r="E29" s="158"/>
      <c r="F29" s="482"/>
      <c r="G29" s="469"/>
    </row>
    <row r="30" spans="1:7" ht="21">
      <c r="A30" s="483" t="s">
        <v>383</v>
      </c>
      <c r="B30" s="484" t="s">
        <v>666</v>
      </c>
      <c r="C30" s="485">
        <v>8550</v>
      </c>
      <c r="D30" s="464" t="s">
        <v>30</v>
      </c>
      <c r="E30" s="158"/>
      <c r="F30" s="486">
        <f>SUM(C30:C35)</f>
        <v>8550</v>
      </c>
      <c r="G30" s="469" t="s">
        <v>30</v>
      </c>
    </row>
    <row r="31" spans="1:7" ht="21">
      <c r="A31" s="487"/>
      <c r="B31" s="484"/>
      <c r="C31" s="485"/>
      <c r="D31" s="464" t="s">
        <v>30</v>
      </c>
      <c r="E31" s="158"/>
      <c r="F31" s="486"/>
      <c r="G31" s="469"/>
    </row>
    <row r="32" spans="1:7" ht="21">
      <c r="A32" s="487"/>
      <c r="B32" s="716"/>
      <c r="C32" s="485">
        <v>0</v>
      </c>
      <c r="D32" s="464" t="s">
        <v>30</v>
      </c>
      <c r="E32" s="158"/>
      <c r="F32" s="486"/>
      <c r="G32" s="469"/>
    </row>
    <row r="33" spans="1:7" ht="21">
      <c r="A33" s="487"/>
      <c r="B33" s="716"/>
      <c r="C33" s="485">
        <v>0</v>
      </c>
      <c r="D33" s="464" t="s">
        <v>30</v>
      </c>
      <c r="E33" s="158"/>
      <c r="F33" s="486"/>
      <c r="G33" s="469"/>
    </row>
    <row r="34" spans="1:7" ht="21">
      <c r="A34" s="487"/>
      <c r="B34" s="716"/>
      <c r="C34" s="485">
        <v>0</v>
      </c>
      <c r="D34" s="464" t="s">
        <v>30</v>
      </c>
      <c r="E34" s="158"/>
      <c r="F34" s="486"/>
      <c r="G34" s="469"/>
    </row>
    <row r="35" spans="1:7" ht="21">
      <c r="A35" s="487"/>
      <c r="B35" s="488"/>
      <c r="C35" s="485">
        <v>0</v>
      </c>
      <c r="D35" s="464" t="s">
        <v>30</v>
      </c>
      <c r="E35" s="158"/>
      <c r="F35" s="486"/>
      <c r="G35" s="469"/>
    </row>
    <row r="36" spans="1:9" ht="21">
      <c r="A36" s="489" t="s">
        <v>384</v>
      </c>
      <c r="B36" s="1"/>
      <c r="C36" s="201"/>
      <c r="D36" s="464" t="s">
        <v>30</v>
      </c>
      <c r="E36" s="158"/>
      <c r="F36" s="482"/>
      <c r="G36" s="464"/>
      <c r="I36" s="733">
        <f>F4</f>
        <v>33174078.63</v>
      </c>
    </row>
    <row r="37" spans="1:9" ht="21">
      <c r="A37" s="880"/>
      <c r="B37" s="881"/>
      <c r="C37" s="485">
        <v>0</v>
      </c>
      <c r="D37" s="464" t="s">
        <v>30</v>
      </c>
      <c r="E37" s="158"/>
      <c r="F37" s="491"/>
      <c r="G37" s="469" t="s">
        <v>30</v>
      </c>
      <c r="I37" s="744">
        <f>F38</f>
        <v>32738219.34</v>
      </c>
    </row>
    <row r="38" spans="1:9" ht="21.75" thickBot="1">
      <c r="A38" s="492" t="s">
        <v>717</v>
      </c>
      <c r="B38" s="480"/>
      <c r="C38" s="485"/>
      <c r="D38" s="464"/>
      <c r="E38" s="158"/>
      <c r="F38" s="493">
        <f>F4-F26-F30+F36+C37</f>
        <v>32738219.34</v>
      </c>
      <c r="G38" s="469" t="s">
        <v>30</v>
      </c>
      <c r="I38" s="744">
        <f>I36-I37</f>
        <v>435859.2899999991</v>
      </c>
    </row>
    <row r="39" spans="1:7" ht="22.5" thickBot="1" thickTop="1">
      <c r="A39" s="494"/>
      <c r="B39" s="495"/>
      <c r="C39" s="496"/>
      <c r="D39" s="497"/>
      <c r="E39" s="494"/>
      <c r="F39" s="498" t="s">
        <v>74</v>
      </c>
      <c r="G39" s="497"/>
    </row>
    <row r="40" spans="1:7" ht="21">
      <c r="A40" s="465" t="s">
        <v>34</v>
      </c>
      <c r="B40" s="222"/>
      <c r="C40" s="460"/>
      <c r="D40" s="222" t="s">
        <v>17</v>
      </c>
      <c r="E40" s="222"/>
      <c r="F40" s="262"/>
      <c r="G40" s="461"/>
    </row>
    <row r="41" spans="1:7" ht="21">
      <c r="A41" s="158"/>
      <c r="B41" s="159"/>
      <c r="C41" s="499"/>
      <c r="D41" s="159"/>
      <c r="E41" s="159"/>
      <c r="F41" s="171"/>
      <c r="G41" s="464"/>
    </row>
    <row r="42" spans="1:7" ht="21">
      <c r="A42" s="158" t="s">
        <v>574</v>
      </c>
      <c r="B42" s="159"/>
      <c r="C42" s="464"/>
      <c r="D42" s="885" t="s">
        <v>575</v>
      </c>
      <c r="E42" s="796"/>
      <c r="F42" s="796"/>
      <c r="G42" s="886"/>
    </row>
    <row r="43" spans="1:7" ht="21">
      <c r="A43" s="885" t="s">
        <v>573</v>
      </c>
      <c r="B43" s="796"/>
      <c r="C43" s="886"/>
      <c r="D43" s="885" t="s">
        <v>664</v>
      </c>
      <c r="E43" s="796"/>
      <c r="F43" s="796"/>
      <c r="G43" s="886"/>
    </row>
    <row r="44" spans="1:7" ht="21">
      <c r="A44" s="878" t="s">
        <v>572</v>
      </c>
      <c r="B44" s="793"/>
      <c r="C44" s="879"/>
      <c r="D44" s="895" t="s">
        <v>645</v>
      </c>
      <c r="E44" s="896"/>
      <c r="F44" s="896"/>
      <c r="G44" s="897"/>
    </row>
    <row r="45" spans="1:7" ht="21.75" thickBot="1">
      <c r="A45" s="887"/>
      <c r="B45" s="888"/>
      <c r="C45" s="889"/>
      <c r="D45" s="882"/>
      <c r="E45" s="883"/>
      <c r="F45" s="883"/>
      <c r="G45" s="884"/>
    </row>
    <row r="46" spans="1:7" ht="21">
      <c r="A46" s="170"/>
      <c r="B46" s="170"/>
      <c r="C46" s="170"/>
      <c r="D46" s="246"/>
      <c r="E46" s="246"/>
      <c r="F46" s="246"/>
      <c r="G46" s="246"/>
    </row>
    <row r="47" spans="1:7" ht="21">
      <c r="A47" s="170"/>
      <c r="B47" s="170"/>
      <c r="C47" s="170"/>
      <c r="D47" s="246"/>
      <c r="E47" s="246"/>
      <c r="F47" s="246"/>
      <c r="G47" s="246"/>
    </row>
  </sheetData>
  <sheetProtection/>
  <mergeCells count="12">
    <mergeCell ref="A2:C3"/>
    <mergeCell ref="D2:G2"/>
    <mergeCell ref="A28:D28"/>
    <mergeCell ref="A29:D29"/>
    <mergeCell ref="A37:B37"/>
    <mergeCell ref="D42:G42"/>
    <mergeCell ref="A43:C43"/>
    <mergeCell ref="D43:G43"/>
    <mergeCell ref="A44:C44"/>
    <mergeCell ref="D44:G44"/>
    <mergeCell ref="A45:C45"/>
    <mergeCell ref="D45:G4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K54"/>
  <sheetViews>
    <sheetView view="pageBreakPreview" zoomScaleSheetLayoutView="100" zoomScalePageLayoutView="0" workbookViewId="0" topLeftCell="A32">
      <selection activeCell="H46" sqref="H46"/>
    </sheetView>
  </sheetViews>
  <sheetFormatPr defaultColWidth="9.140625" defaultRowHeight="21.75"/>
  <cols>
    <col min="1" max="1" width="24.7109375" style="1" customWidth="1"/>
    <col min="2" max="2" width="22.57421875" style="1" customWidth="1"/>
    <col min="3" max="3" width="14.28125" style="1" customWidth="1"/>
    <col min="4" max="4" width="19.7109375" style="138" customWidth="1"/>
    <col min="5" max="6" width="18.57421875" style="2" customWidth="1"/>
    <col min="7" max="7" width="16.140625" style="1" customWidth="1"/>
    <col min="8" max="8" width="19.8515625" style="1" customWidth="1"/>
    <col min="9" max="9" width="14.00390625" style="1" customWidth="1"/>
    <col min="10" max="10" width="9.140625" style="1" customWidth="1"/>
    <col min="11" max="11" width="13.28125" style="1" customWidth="1"/>
    <col min="12" max="16384" width="9.140625" style="1" customWidth="1"/>
  </cols>
  <sheetData>
    <row r="1" ht="18.75" customHeight="1">
      <c r="F1" s="173" t="str">
        <f>'ใบผ่านรายการ 1 '!H1</f>
        <v> เลขที่      /2560</v>
      </c>
    </row>
    <row r="2" spans="1:9" ht="18.75" customHeight="1">
      <c r="A2" s="756"/>
      <c r="B2" s="776"/>
      <c r="C2" s="776"/>
      <c r="D2" s="756" t="s">
        <v>740</v>
      </c>
      <c r="E2" s="756"/>
      <c r="F2" s="756"/>
      <c r="G2" s="174"/>
      <c r="H2" s="174"/>
      <c r="I2" s="174"/>
    </row>
    <row r="3" spans="1:6" ht="18.75" customHeight="1">
      <c r="A3" s="754" t="s">
        <v>123</v>
      </c>
      <c r="B3" s="755"/>
      <c r="C3" s="755"/>
      <c r="D3" s="755"/>
      <c r="E3" s="755"/>
      <c r="F3" s="755"/>
    </row>
    <row r="4" spans="1:3" ht="18.75" customHeight="1" thickBot="1">
      <c r="A4" s="174" t="s">
        <v>379</v>
      </c>
      <c r="B4" s="174"/>
      <c r="C4" s="174"/>
    </row>
    <row r="5" spans="1:6" ht="18.75" customHeight="1" thickBot="1">
      <c r="A5" s="777" t="s">
        <v>52</v>
      </c>
      <c r="B5" s="778"/>
      <c r="C5" s="778"/>
      <c r="D5" s="175" t="s">
        <v>47</v>
      </c>
      <c r="E5" s="176" t="s">
        <v>9</v>
      </c>
      <c r="F5" s="176" t="s">
        <v>10</v>
      </c>
    </row>
    <row r="6" spans="1:8" ht="18.75" customHeight="1">
      <c r="A6" s="177" t="s">
        <v>45</v>
      </c>
      <c r="B6" s="178"/>
      <c r="C6" s="178"/>
      <c r="D6" s="179">
        <v>511000</v>
      </c>
      <c r="E6" s="180">
        <v>148373.75</v>
      </c>
      <c r="F6" s="181"/>
      <c r="H6" s="171"/>
    </row>
    <row r="7" spans="1:8" ht="18.75" customHeight="1">
      <c r="A7" s="177" t="s">
        <v>45</v>
      </c>
      <c r="B7" s="178" t="s">
        <v>602</v>
      </c>
      <c r="C7" s="178"/>
      <c r="D7" s="711">
        <v>511000</v>
      </c>
      <c r="E7" s="183">
        <v>7963.25</v>
      </c>
      <c r="F7" s="181"/>
      <c r="H7" s="171"/>
    </row>
    <row r="8" spans="1:9" ht="18.75" customHeight="1">
      <c r="A8" s="177" t="s">
        <v>186</v>
      </c>
      <c r="B8" s="178"/>
      <c r="C8" s="178"/>
      <c r="D8" s="182">
        <v>521000</v>
      </c>
      <c r="E8" s="183">
        <v>218720</v>
      </c>
      <c r="F8" s="181"/>
      <c r="H8" s="171"/>
      <c r="I8" s="184"/>
    </row>
    <row r="9" spans="1:8" ht="18.75" customHeight="1">
      <c r="A9" s="185" t="s">
        <v>187</v>
      </c>
      <c r="B9" s="186"/>
      <c r="C9" s="186"/>
      <c r="D9" s="187">
        <v>522000</v>
      </c>
      <c r="E9" s="183">
        <v>948505</v>
      </c>
      <c r="F9" s="188"/>
      <c r="H9" s="171"/>
    </row>
    <row r="10" spans="1:8" ht="18.75" customHeight="1">
      <c r="A10" s="185" t="s">
        <v>188</v>
      </c>
      <c r="B10" s="186"/>
      <c r="C10" s="186"/>
      <c r="D10" s="187">
        <v>522000</v>
      </c>
      <c r="E10" s="183">
        <v>76480</v>
      </c>
      <c r="F10" s="188"/>
      <c r="H10" s="171">
        <f>E9+E10+E11</f>
        <v>1349390</v>
      </c>
    </row>
    <row r="11" spans="1:8" ht="18.75" customHeight="1">
      <c r="A11" s="185" t="s">
        <v>189</v>
      </c>
      <c r="B11" s="186"/>
      <c r="C11" s="186"/>
      <c r="D11" s="187">
        <v>522000</v>
      </c>
      <c r="E11" s="183">
        <v>324405</v>
      </c>
      <c r="F11" s="188"/>
      <c r="H11" s="171"/>
    </row>
    <row r="12" spans="1:8" ht="18.75" customHeight="1">
      <c r="A12" s="185" t="s">
        <v>0</v>
      </c>
      <c r="B12" s="186"/>
      <c r="C12" s="186"/>
      <c r="D12" s="187">
        <v>531000</v>
      </c>
      <c r="E12" s="183">
        <v>26950</v>
      </c>
      <c r="F12" s="188"/>
      <c r="H12" s="171"/>
    </row>
    <row r="13" spans="1:8" ht="18.75" customHeight="1">
      <c r="A13" s="185" t="s">
        <v>0</v>
      </c>
      <c r="B13" s="186" t="s">
        <v>602</v>
      </c>
      <c r="C13" s="186"/>
      <c r="D13" s="187">
        <v>531000</v>
      </c>
      <c r="E13" s="183">
        <f>1870+14500</f>
        <v>16370</v>
      </c>
      <c r="F13" s="188"/>
      <c r="H13" s="171"/>
    </row>
    <row r="14" spans="1:8" ht="18.75" customHeight="1">
      <c r="A14" s="185" t="s">
        <v>1</v>
      </c>
      <c r="B14" s="186"/>
      <c r="C14" s="186"/>
      <c r="D14" s="187">
        <v>532000</v>
      </c>
      <c r="E14" s="183">
        <v>406160.28</v>
      </c>
      <c r="F14" s="188">
        <v>0</v>
      </c>
      <c r="H14" s="171"/>
    </row>
    <row r="15" spans="1:8" ht="18.75" customHeight="1">
      <c r="A15" s="185" t="s">
        <v>2</v>
      </c>
      <c r="B15" s="186"/>
      <c r="C15" s="186"/>
      <c r="D15" s="187">
        <v>533000</v>
      </c>
      <c r="E15" s="183">
        <v>50371.62</v>
      </c>
      <c r="F15" s="188"/>
      <c r="H15" s="171">
        <f>SUM(E15:E15)</f>
        <v>50371.62</v>
      </c>
    </row>
    <row r="16" spans="1:8" ht="18.75" customHeight="1">
      <c r="A16" s="185" t="s">
        <v>3</v>
      </c>
      <c r="B16" s="186"/>
      <c r="C16" s="186"/>
      <c r="D16" s="187">
        <v>534000</v>
      </c>
      <c r="E16" s="183">
        <v>36459.73</v>
      </c>
      <c r="F16" s="188"/>
      <c r="H16" s="171"/>
    </row>
    <row r="17" spans="1:8" ht="18.75" customHeight="1">
      <c r="A17" s="185" t="s">
        <v>4</v>
      </c>
      <c r="B17" s="186"/>
      <c r="C17" s="186"/>
      <c r="D17" s="187">
        <v>561000</v>
      </c>
      <c r="E17" s="183">
        <v>200000</v>
      </c>
      <c r="F17" s="188"/>
      <c r="H17" s="171">
        <f>SUM(E6:E17)</f>
        <v>2460758.6300000004</v>
      </c>
    </row>
    <row r="18" spans="1:8" ht="18.75" customHeight="1">
      <c r="A18" s="185" t="s">
        <v>80</v>
      </c>
      <c r="B18" s="186"/>
      <c r="C18" s="186"/>
      <c r="D18" s="187">
        <v>541000</v>
      </c>
      <c r="E18" s="581">
        <v>3500</v>
      </c>
      <c r="F18" s="582"/>
      <c r="H18" s="171" t="s">
        <v>601</v>
      </c>
    </row>
    <row r="19" spans="1:8" ht="18.75" customHeight="1">
      <c r="A19" s="185" t="s">
        <v>5</v>
      </c>
      <c r="B19" s="186"/>
      <c r="C19" s="186"/>
      <c r="D19" s="187">
        <v>542000</v>
      </c>
      <c r="E19" s="581">
        <v>0</v>
      </c>
      <c r="F19" s="582"/>
      <c r="G19" s="184"/>
      <c r="H19" s="171">
        <f>SUM(E19:E21)</f>
        <v>0</v>
      </c>
    </row>
    <row r="20" spans="1:8" ht="18.75" customHeight="1">
      <c r="A20" s="189" t="s">
        <v>305</v>
      </c>
      <c r="B20" s="186"/>
      <c r="C20" s="186"/>
      <c r="D20" s="187">
        <v>542000</v>
      </c>
      <c r="E20" s="581">
        <v>0</v>
      </c>
      <c r="F20" s="582"/>
      <c r="H20" s="171"/>
    </row>
    <row r="21" spans="1:8" ht="18.75" customHeight="1">
      <c r="A21" s="189" t="s">
        <v>231</v>
      </c>
      <c r="B21" s="190"/>
      <c r="C21" s="190"/>
      <c r="D21" s="187">
        <v>542000</v>
      </c>
      <c r="E21" s="581">
        <v>0</v>
      </c>
      <c r="F21" s="582"/>
      <c r="H21" s="171"/>
    </row>
    <row r="22" spans="1:6" ht="18.75" customHeight="1">
      <c r="A22" s="185" t="s">
        <v>39</v>
      </c>
      <c r="B22" s="186"/>
      <c r="C22" s="186"/>
      <c r="D22" s="191">
        <v>551000</v>
      </c>
      <c r="E22" s="581">
        <v>0</v>
      </c>
      <c r="F22" s="582"/>
    </row>
    <row r="23" spans="1:6" ht="18.75" customHeight="1">
      <c r="A23" s="185" t="s">
        <v>146</v>
      </c>
      <c r="B23" s="186"/>
      <c r="C23" s="186"/>
      <c r="D23" s="192">
        <v>123003</v>
      </c>
      <c r="E23" s="581">
        <v>0</v>
      </c>
      <c r="F23" s="582"/>
    </row>
    <row r="24" spans="1:6" ht="18.75" customHeight="1">
      <c r="A24" s="185" t="s">
        <v>360</v>
      </c>
      <c r="B24" s="186"/>
      <c r="C24" s="186"/>
      <c r="D24" s="191">
        <v>113100</v>
      </c>
      <c r="E24" s="581">
        <v>617900</v>
      </c>
      <c r="F24" s="582"/>
    </row>
    <row r="25" spans="1:6" ht="18.75" customHeight="1">
      <c r="A25" s="185" t="s">
        <v>36</v>
      </c>
      <c r="B25" s="186"/>
      <c r="C25" s="186"/>
      <c r="D25" s="191">
        <v>113700</v>
      </c>
      <c r="E25" s="581">
        <v>0</v>
      </c>
      <c r="F25" s="582"/>
    </row>
    <row r="26" spans="1:6" ht="18.75" customHeight="1">
      <c r="A26" s="185" t="s">
        <v>330</v>
      </c>
      <c r="B26" s="186"/>
      <c r="C26" s="186"/>
      <c r="D26" s="191">
        <v>113800</v>
      </c>
      <c r="E26" s="581">
        <v>0</v>
      </c>
      <c r="F26" s="582"/>
    </row>
    <row r="27" spans="1:6" ht="18.75" customHeight="1">
      <c r="A27" s="773" t="s">
        <v>369</v>
      </c>
      <c r="B27" s="774"/>
      <c r="C27" s="186"/>
      <c r="D27" s="191">
        <v>211000</v>
      </c>
      <c r="E27" s="581">
        <v>0</v>
      </c>
      <c r="F27" s="582"/>
    </row>
    <row r="28" spans="1:6" ht="18.75" customHeight="1">
      <c r="A28" s="773" t="s">
        <v>81</v>
      </c>
      <c r="B28" s="774"/>
      <c r="C28" s="775"/>
      <c r="D28" s="191">
        <v>211000</v>
      </c>
      <c r="E28" s="581">
        <v>0</v>
      </c>
      <c r="F28" s="582"/>
    </row>
    <row r="29" spans="1:6" ht="18.75" customHeight="1">
      <c r="A29" s="773" t="s">
        <v>315</v>
      </c>
      <c r="B29" s="774"/>
      <c r="C29" s="775"/>
      <c r="D29" s="191">
        <v>211000</v>
      </c>
      <c r="E29" s="581">
        <v>0</v>
      </c>
      <c r="F29" s="582"/>
    </row>
    <row r="30" spans="1:6" ht="18.75" customHeight="1">
      <c r="A30" s="185" t="s">
        <v>7</v>
      </c>
      <c r="B30" s="186"/>
      <c r="C30" s="186"/>
      <c r="D30" s="191">
        <v>310000</v>
      </c>
      <c r="E30" s="581">
        <v>0</v>
      </c>
      <c r="F30" s="582"/>
    </row>
    <row r="31" spans="1:6" ht="18.75" customHeight="1">
      <c r="A31" s="185" t="s">
        <v>94</v>
      </c>
      <c r="B31" s="186"/>
      <c r="C31" s="186"/>
      <c r="D31" s="193">
        <v>121000</v>
      </c>
      <c r="E31" s="581">
        <v>0</v>
      </c>
      <c r="F31" s="582"/>
    </row>
    <row r="32" spans="1:9" ht="18.75" customHeight="1">
      <c r="A32" s="194" t="s">
        <v>72</v>
      </c>
      <c r="B32" s="195"/>
      <c r="C32" s="195"/>
      <c r="D32" s="198">
        <v>215001</v>
      </c>
      <c r="E32" s="581">
        <v>5669.64</v>
      </c>
      <c r="F32" s="583">
        <v>3318.99</v>
      </c>
      <c r="G32" s="1" t="s">
        <v>136</v>
      </c>
      <c r="H32" s="174" t="s">
        <v>137</v>
      </c>
      <c r="I32" s="184"/>
    </row>
    <row r="33" spans="1:11" ht="18.75" customHeight="1">
      <c r="A33" s="200" t="s">
        <v>226</v>
      </c>
      <c r="B33" s="195"/>
      <c r="C33" s="195"/>
      <c r="D33" s="196" t="s">
        <v>238</v>
      </c>
      <c r="E33" s="581">
        <v>0</v>
      </c>
      <c r="F33" s="583">
        <v>0</v>
      </c>
      <c r="G33" s="142"/>
      <c r="H33" s="199"/>
      <c r="J33" s="174"/>
      <c r="K33" s="184"/>
    </row>
    <row r="34" spans="1:8" ht="18.75" customHeight="1">
      <c r="A34" s="194" t="s">
        <v>326</v>
      </c>
      <c r="B34" s="195"/>
      <c r="C34" s="195"/>
      <c r="D34" s="198">
        <v>215008</v>
      </c>
      <c r="E34" s="581">
        <v>42425</v>
      </c>
      <c r="F34" s="583">
        <v>0</v>
      </c>
      <c r="G34" s="201"/>
      <c r="H34" s="199"/>
    </row>
    <row r="35" spans="1:8" ht="18.75" customHeight="1">
      <c r="A35" s="194" t="s">
        <v>325</v>
      </c>
      <c r="B35" s="195"/>
      <c r="C35" s="195"/>
      <c r="D35" s="198">
        <v>215009</v>
      </c>
      <c r="E35" s="581">
        <v>0</v>
      </c>
      <c r="F35" s="583">
        <v>0</v>
      </c>
      <c r="G35" s="201"/>
      <c r="H35" s="199"/>
    </row>
    <row r="36" spans="1:8" ht="18.75" customHeight="1">
      <c r="A36" s="194" t="s">
        <v>173</v>
      </c>
      <c r="B36" s="195"/>
      <c r="C36" s="195"/>
      <c r="D36" s="198">
        <v>215013</v>
      </c>
      <c r="E36" s="581">
        <v>16070</v>
      </c>
      <c r="F36" s="583">
        <v>15570</v>
      </c>
      <c r="G36" s="201"/>
      <c r="H36" s="199"/>
    </row>
    <row r="37" spans="1:11" ht="18.75" customHeight="1">
      <c r="A37" s="200" t="s">
        <v>311</v>
      </c>
      <c r="B37" s="195"/>
      <c r="C37" s="195"/>
      <c r="D37" s="187">
        <v>215014</v>
      </c>
      <c r="E37" s="581">
        <v>0</v>
      </c>
      <c r="F37" s="583">
        <v>0</v>
      </c>
      <c r="G37" s="142"/>
      <c r="H37" s="199"/>
      <c r="J37" s="174"/>
      <c r="K37" s="184"/>
    </row>
    <row r="38" spans="1:8" ht="18.75" customHeight="1">
      <c r="A38" s="194" t="s">
        <v>365</v>
      </c>
      <c r="B38" s="195"/>
      <c r="C38" s="195"/>
      <c r="D38" s="202">
        <v>215999</v>
      </c>
      <c r="E38" s="581">
        <v>0</v>
      </c>
      <c r="F38" s="583">
        <v>0</v>
      </c>
      <c r="G38" s="201"/>
      <c r="H38" s="199"/>
    </row>
    <row r="39" spans="1:11" ht="18.75" customHeight="1">
      <c r="A39" s="200" t="s">
        <v>406</v>
      </c>
      <c r="B39" s="195"/>
      <c r="C39" s="195"/>
      <c r="D39" s="187">
        <v>215999</v>
      </c>
      <c r="E39" s="581">
        <v>0</v>
      </c>
      <c r="F39" s="583"/>
      <c r="G39" s="142"/>
      <c r="H39" s="199"/>
      <c r="J39" s="174"/>
      <c r="K39" s="184"/>
    </row>
    <row r="40" spans="1:11" ht="18.75" customHeight="1">
      <c r="A40" s="200" t="s">
        <v>229</v>
      </c>
      <c r="B40" s="195"/>
      <c r="C40" s="195"/>
      <c r="D40" s="187">
        <v>215999</v>
      </c>
      <c r="E40" s="581">
        <v>0</v>
      </c>
      <c r="F40" s="583"/>
      <c r="G40" s="142"/>
      <c r="H40" s="199"/>
      <c r="J40" s="174"/>
      <c r="K40" s="184"/>
    </row>
    <row r="41" spans="1:11" ht="18.75" customHeight="1">
      <c r="A41" s="203" t="s">
        <v>659</v>
      </c>
      <c r="B41" s="195"/>
      <c r="C41" s="195"/>
      <c r="D41" s="187">
        <v>215999</v>
      </c>
      <c r="E41" s="581">
        <v>0</v>
      </c>
      <c r="F41" s="583"/>
      <c r="G41" s="142"/>
      <c r="H41" s="199"/>
      <c r="J41" s="174"/>
      <c r="K41" s="184"/>
    </row>
    <row r="42" spans="1:11" ht="18.75" customHeight="1">
      <c r="A42" s="200" t="s">
        <v>236</v>
      </c>
      <c r="B42" s="195"/>
      <c r="C42" s="195"/>
      <c r="D42" s="202">
        <v>215999</v>
      </c>
      <c r="E42" s="581">
        <v>0</v>
      </c>
      <c r="F42" s="583">
        <v>0</v>
      </c>
      <c r="G42" s="142"/>
      <c r="H42" s="199"/>
      <c r="J42" s="174"/>
      <c r="K42" s="184"/>
    </row>
    <row r="43" spans="1:11" ht="18.75" customHeight="1">
      <c r="A43" s="200"/>
      <c r="B43" s="195" t="s">
        <v>158</v>
      </c>
      <c r="C43" s="195"/>
      <c r="D43" s="204">
        <v>999</v>
      </c>
      <c r="E43" s="581">
        <v>0</v>
      </c>
      <c r="F43" s="583">
        <v>0</v>
      </c>
      <c r="G43" s="142"/>
      <c r="H43" s="199"/>
      <c r="J43" s="174"/>
      <c r="K43" s="184"/>
    </row>
    <row r="44" spans="1:11" ht="18.75" customHeight="1">
      <c r="A44" s="200" t="s">
        <v>232</v>
      </c>
      <c r="B44" s="195"/>
      <c r="C44" s="195"/>
      <c r="D44" s="204">
        <v>112002</v>
      </c>
      <c r="E44" s="205">
        <v>0</v>
      </c>
      <c r="F44" s="197"/>
      <c r="G44" s="142"/>
      <c r="H44" s="199"/>
      <c r="J44" s="174"/>
      <c r="K44" s="184"/>
    </row>
    <row r="45" spans="1:11" ht="18.75" customHeight="1">
      <c r="A45" s="200" t="s">
        <v>248</v>
      </c>
      <c r="B45" s="195"/>
      <c r="C45" s="195"/>
      <c r="D45" s="153" t="s">
        <v>191</v>
      </c>
      <c r="E45" s="205">
        <v>0</v>
      </c>
      <c r="F45" s="197"/>
      <c r="G45" s="142"/>
      <c r="H45" s="199"/>
      <c r="J45" s="174"/>
      <c r="K45" s="184"/>
    </row>
    <row r="46" spans="1:9" s="211" customFormat="1" ht="18.75" customHeight="1">
      <c r="A46" s="206"/>
      <c r="B46" s="195" t="s">
        <v>101</v>
      </c>
      <c r="C46" s="207"/>
      <c r="D46" s="208" t="s">
        <v>242</v>
      </c>
      <c r="E46" s="205"/>
      <c r="F46" s="197">
        <v>3127434.28</v>
      </c>
      <c r="G46" s="209">
        <f>SUM(E32:E42)</f>
        <v>64164.64</v>
      </c>
      <c r="H46" s="210">
        <f>SUM(F32:F42)</f>
        <v>18888.989999999998</v>
      </c>
      <c r="I46" s="209"/>
    </row>
    <row r="47" spans="1:9" s="211" customFormat="1" ht="18.75" customHeight="1">
      <c r="A47" s="206"/>
      <c r="B47" s="212" t="s">
        <v>152</v>
      </c>
      <c r="C47" s="207"/>
      <c r="D47" s="208" t="s">
        <v>184</v>
      </c>
      <c r="E47" s="213"/>
      <c r="F47" s="197">
        <v>0</v>
      </c>
      <c r="G47" s="209"/>
      <c r="H47" s="210"/>
      <c r="I47" s="209"/>
    </row>
    <row r="48" spans="1:8" ht="18.75" customHeight="1">
      <c r="A48" s="206"/>
      <c r="B48" s="195" t="s">
        <v>627</v>
      </c>
      <c r="C48" s="207"/>
      <c r="D48" s="204">
        <v>400000</v>
      </c>
      <c r="E48" s="213">
        <v>0</v>
      </c>
      <c r="F48" s="197">
        <v>0</v>
      </c>
      <c r="H48" s="184"/>
    </row>
    <row r="49" spans="1:7" ht="18.75" customHeight="1" thickBot="1">
      <c r="A49" s="770" t="s">
        <v>73</v>
      </c>
      <c r="B49" s="771"/>
      <c r="C49" s="772"/>
      <c r="D49" s="214"/>
      <c r="E49" s="215">
        <f>SUM(E6:E48)</f>
        <v>3146323.2700000005</v>
      </c>
      <c r="F49" s="216">
        <f>SUM(F8:F48)</f>
        <v>3146323.27</v>
      </c>
      <c r="G49" s="184">
        <f>E49-F49</f>
        <v>0</v>
      </c>
    </row>
    <row r="50" spans="1:8" ht="21.75" customHeight="1">
      <c r="A50" s="139" t="s">
        <v>741</v>
      </c>
      <c r="B50" s="139"/>
      <c r="C50" s="139"/>
      <c r="D50" s="139"/>
      <c r="E50" s="139"/>
      <c r="F50" s="139"/>
      <c r="G50" s="139"/>
      <c r="H50" s="146"/>
    </row>
    <row r="51" spans="1:6" ht="18.75" customHeight="1">
      <c r="A51" s="763" t="s">
        <v>34</v>
      </c>
      <c r="B51" s="764"/>
      <c r="C51" s="763" t="s">
        <v>569</v>
      </c>
      <c r="D51" s="764"/>
      <c r="E51" s="763" t="s">
        <v>570</v>
      </c>
      <c r="F51" s="764"/>
    </row>
    <row r="52" spans="1:6" ht="18.75" customHeight="1">
      <c r="A52" s="676"/>
      <c r="B52" s="678"/>
      <c r="C52" s="422"/>
      <c r="D52" s="679"/>
      <c r="E52" s="676"/>
      <c r="F52" s="677"/>
    </row>
    <row r="53" spans="1:6" ht="18.75" customHeight="1">
      <c r="A53" s="746" t="s">
        <v>571</v>
      </c>
      <c r="B53" s="747"/>
      <c r="C53" s="766" t="s">
        <v>170</v>
      </c>
      <c r="D53" s="767"/>
      <c r="E53" s="746" t="s">
        <v>571</v>
      </c>
      <c r="F53" s="747"/>
    </row>
    <row r="54" spans="1:6" ht="18.75" customHeight="1">
      <c r="A54" s="748" t="s">
        <v>572</v>
      </c>
      <c r="B54" s="749"/>
      <c r="C54" s="768" t="s">
        <v>626</v>
      </c>
      <c r="D54" s="769"/>
      <c r="E54" s="748" t="s">
        <v>572</v>
      </c>
      <c r="F54" s="749"/>
    </row>
    <row r="55" ht="18.75" customHeight="1"/>
  </sheetData>
  <sheetProtection/>
  <mergeCells count="17">
    <mergeCell ref="A49:C49"/>
    <mergeCell ref="A29:C29"/>
    <mergeCell ref="A2:C2"/>
    <mergeCell ref="D2:F2"/>
    <mergeCell ref="A3:F3"/>
    <mergeCell ref="A5:C5"/>
    <mergeCell ref="A27:B27"/>
    <mergeCell ref="A28:C28"/>
    <mergeCell ref="A54:B54"/>
    <mergeCell ref="E54:F54"/>
    <mergeCell ref="C53:D53"/>
    <mergeCell ref="C54:D54"/>
    <mergeCell ref="C51:D51"/>
    <mergeCell ref="A51:B51"/>
    <mergeCell ref="E51:F51"/>
    <mergeCell ref="A53:B53"/>
    <mergeCell ref="E53:F53"/>
  </mergeCells>
  <printOptions horizontalCentered="1"/>
  <pageMargins left="0.3937007874015748" right="0.1968503937007874" top="0.3937007874015748" bottom="0" header="0.2362204724409449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77">
      <selection activeCell="F74" sqref="F74"/>
    </sheetView>
  </sheetViews>
  <sheetFormatPr defaultColWidth="9.140625" defaultRowHeight="21.75"/>
  <cols>
    <col min="1" max="1" width="14.7109375" style="0" customWidth="1"/>
    <col min="2" max="2" width="20.8515625" style="0" customWidth="1"/>
    <col min="3" max="3" width="33.140625" style="0" customWidth="1"/>
    <col min="4" max="4" width="12.7109375" style="0" customWidth="1"/>
    <col min="5" max="5" width="16.00390625" style="0" customWidth="1"/>
    <col min="6" max="6" width="16.28125" style="0" customWidth="1"/>
    <col min="7" max="7" width="17.140625" style="0" customWidth="1"/>
  </cols>
  <sheetData>
    <row r="1" spans="1:6" ht="19.5" customHeight="1">
      <c r="A1" s="139"/>
      <c r="B1" s="139"/>
      <c r="C1" s="139"/>
      <c r="D1" s="139"/>
      <c r="E1" s="140"/>
      <c r="F1" s="710" t="str">
        <f>'ใบผ่านรายการ  2'!F1</f>
        <v> เลขที่      /2560</v>
      </c>
    </row>
    <row r="2" spans="1:7" ht="19.5" customHeight="1">
      <c r="A2" s="139"/>
      <c r="B2" s="139"/>
      <c r="C2" s="139"/>
      <c r="D2" s="143" t="s">
        <v>742</v>
      </c>
      <c r="G2" s="141"/>
    </row>
    <row r="3" spans="1:7" ht="19.5" customHeight="1">
      <c r="A3" s="781" t="s">
        <v>576</v>
      </c>
      <c r="B3" s="781"/>
      <c r="C3" s="781"/>
      <c r="D3" s="781"/>
      <c r="E3" s="781"/>
      <c r="F3" s="781"/>
      <c r="G3" s="141"/>
    </row>
    <row r="4" spans="1:8" ht="19.5" customHeight="1" thickBot="1">
      <c r="A4" s="145" t="s">
        <v>378</v>
      </c>
      <c r="B4" s="139"/>
      <c r="C4" s="139"/>
      <c r="D4" s="139"/>
      <c r="E4" s="139"/>
      <c r="F4" s="139"/>
      <c r="G4" s="139"/>
      <c r="H4" s="146"/>
    </row>
    <row r="5" spans="1:8" ht="19.5" customHeight="1" thickBot="1">
      <c r="A5" s="777" t="s">
        <v>52</v>
      </c>
      <c r="B5" s="778"/>
      <c r="C5" s="778"/>
      <c r="D5" s="698" t="s">
        <v>47</v>
      </c>
      <c r="E5" s="176" t="s">
        <v>9</v>
      </c>
      <c r="F5" s="176" t="s">
        <v>10</v>
      </c>
      <c r="G5" s="139"/>
      <c r="H5" s="146"/>
    </row>
    <row r="6" spans="1:8" ht="19.5" customHeight="1">
      <c r="A6" s="151" t="s">
        <v>6</v>
      </c>
      <c r="B6" s="222"/>
      <c r="C6" s="461"/>
      <c r="D6" s="699">
        <v>40000000</v>
      </c>
      <c r="E6" s="700">
        <f>F42+F57+F58+F59+F60+F61+F62+F63+F64+F65+F66+F67+F68+F69+F70+F71+F72+F73</f>
        <v>3463171.18</v>
      </c>
      <c r="F6" s="700"/>
      <c r="G6" s="139"/>
      <c r="H6" s="146"/>
    </row>
    <row r="7" spans="1:8" ht="19.5" customHeight="1">
      <c r="A7" s="158"/>
      <c r="B7" s="152" t="s">
        <v>545</v>
      </c>
      <c r="C7" s="464"/>
      <c r="D7" s="169">
        <v>41100001</v>
      </c>
      <c r="E7" s="700"/>
      <c r="F7" s="154">
        <v>11662</v>
      </c>
      <c r="G7" s="139"/>
      <c r="H7" s="146"/>
    </row>
    <row r="8" spans="1:8" ht="19.5" customHeight="1">
      <c r="A8" s="158"/>
      <c r="B8" s="152" t="s">
        <v>517</v>
      </c>
      <c r="C8" s="464"/>
      <c r="D8" s="169">
        <v>41100003</v>
      </c>
      <c r="E8" s="700"/>
      <c r="F8" s="154">
        <v>611.36</v>
      </c>
      <c r="G8" s="139"/>
      <c r="H8" s="146"/>
    </row>
    <row r="9" spans="1:8" ht="19.5" customHeight="1">
      <c r="A9" s="158"/>
      <c r="B9" s="152" t="s">
        <v>518</v>
      </c>
      <c r="C9" s="464"/>
      <c r="D9" s="169">
        <v>41100004</v>
      </c>
      <c r="E9" s="700"/>
      <c r="F9" s="154">
        <v>22027</v>
      </c>
      <c r="G9" s="155">
        <f>F7+F8+F9</f>
        <v>34300.36</v>
      </c>
      <c r="H9" s="146"/>
    </row>
    <row r="10" spans="1:8" ht="19.5" customHeight="1">
      <c r="A10" s="158"/>
      <c r="B10" s="152" t="s">
        <v>577</v>
      </c>
      <c r="C10" s="464"/>
      <c r="D10" s="169">
        <v>41210009</v>
      </c>
      <c r="E10" s="700"/>
      <c r="F10" s="701"/>
      <c r="G10" s="139"/>
      <c r="H10" s="146"/>
    </row>
    <row r="11" spans="1:8" ht="19.5" customHeight="1">
      <c r="A11" s="158"/>
      <c r="B11" s="152" t="s">
        <v>578</v>
      </c>
      <c r="C11" s="464"/>
      <c r="D11" s="169">
        <v>41210004</v>
      </c>
      <c r="E11" s="700"/>
      <c r="F11" s="717">
        <v>38.8</v>
      </c>
      <c r="G11" s="139"/>
      <c r="H11" s="146"/>
    </row>
    <row r="12" spans="1:8" ht="19.5" customHeight="1">
      <c r="A12" s="158"/>
      <c r="B12" s="152" t="s">
        <v>520</v>
      </c>
      <c r="C12" s="464"/>
      <c r="D12" s="169">
        <v>41210007</v>
      </c>
      <c r="E12" s="700"/>
      <c r="F12" s="154">
        <v>263</v>
      </c>
      <c r="G12" s="139"/>
      <c r="H12" s="146"/>
    </row>
    <row r="13" spans="1:8" ht="19.5" customHeight="1">
      <c r="A13" s="158"/>
      <c r="B13" s="152" t="s">
        <v>579</v>
      </c>
      <c r="C13" s="464"/>
      <c r="D13" s="169">
        <v>41210008</v>
      </c>
      <c r="E13" s="700"/>
      <c r="F13" s="702">
        <v>18980</v>
      </c>
      <c r="G13" s="139"/>
      <c r="H13" s="146"/>
    </row>
    <row r="14" spans="1:8" ht="19.5" customHeight="1">
      <c r="A14" s="158"/>
      <c r="B14" s="152" t="s">
        <v>523</v>
      </c>
      <c r="C14" s="464"/>
      <c r="D14" s="169">
        <v>41220002</v>
      </c>
      <c r="E14" s="703"/>
      <c r="F14" s="154">
        <v>8550</v>
      </c>
      <c r="G14" s="139"/>
      <c r="H14" s="146"/>
    </row>
    <row r="15" spans="1:8" ht="19.5" customHeight="1">
      <c r="A15" s="158"/>
      <c r="B15" s="152" t="s">
        <v>609</v>
      </c>
      <c r="C15" s="464"/>
      <c r="D15" s="169">
        <v>41220007</v>
      </c>
      <c r="E15" s="700"/>
      <c r="F15" s="718">
        <v>0</v>
      </c>
      <c r="G15" s="139"/>
      <c r="H15" s="146"/>
    </row>
    <row r="16" spans="1:8" ht="18" customHeight="1">
      <c r="A16" s="158"/>
      <c r="B16" s="152" t="s">
        <v>580</v>
      </c>
      <c r="C16" s="464"/>
      <c r="D16" s="169">
        <v>41210013</v>
      </c>
      <c r="E16" s="700"/>
      <c r="F16" s="718">
        <v>120</v>
      </c>
      <c r="G16" s="139"/>
      <c r="H16" s="146"/>
    </row>
    <row r="17" spans="1:8" ht="19.5" customHeight="1">
      <c r="A17" s="158"/>
      <c r="B17" s="152" t="s">
        <v>581</v>
      </c>
      <c r="C17" s="464"/>
      <c r="D17" s="169">
        <v>41210029</v>
      </c>
      <c r="E17" s="703"/>
      <c r="F17" s="718">
        <v>70</v>
      </c>
      <c r="G17" s="139"/>
      <c r="H17" s="146"/>
    </row>
    <row r="18" spans="1:8" ht="19.5" customHeight="1">
      <c r="A18" s="158"/>
      <c r="B18" s="152" t="s">
        <v>550</v>
      </c>
      <c r="C18" s="464"/>
      <c r="D18" s="169">
        <v>41219999</v>
      </c>
      <c r="E18" s="703"/>
      <c r="F18" s="718"/>
      <c r="G18" s="139"/>
      <c r="H18" s="146"/>
    </row>
    <row r="19" spans="1:8" ht="19.5" customHeight="1">
      <c r="A19" s="158"/>
      <c r="B19" s="152" t="s">
        <v>531</v>
      </c>
      <c r="C19" s="464"/>
      <c r="D19" s="169">
        <v>41220010</v>
      </c>
      <c r="E19" s="703"/>
      <c r="F19" s="718">
        <v>420</v>
      </c>
      <c r="G19" s="139"/>
      <c r="H19" s="146"/>
    </row>
    <row r="20" spans="1:8" ht="19.5" customHeight="1">
      <c r="A20" s="158"/>
      <c r="B20" s="152" t="s">
        <v>582</v>
      </c>
      <c r="C20" s="464"/>
      <c r="D20" s="169">
        <v>41230003</v>
      </c>
      <c r="E20" s="703"/>
      <c r="F20" s="718"/>
      <c r="G20" s="139"/>
      <c r="H20" s="146"/>
    </row>
    <row r="21" spans="1:8" ht="19.5" customHeight="1">
      <c r="A21" s="158"/>
      <c r="B21" s="457" t="s">
        <v>583</v>
      </c>
      <c r="C21" s="464"/>
      <c r="D21" s="169">
        <v>41230004</v>
      </c>
      <c r="E21" s="703"/>
      <c r="F21" s="154"/>
      <c r="G21" s="139"/>
      <c r="H21" s="146"/>
    </row>
    <row r="22" spans="1:8" ht="19.5" customHeight="1">
      <c r="A22" s="158"/>
      <c r="B22" s="761" t="s">
        <v>525</v>
      </c>
      <c r="C22" s="762"/>
      <c r="D22" s="169">
        <v>41230005</v>
      </c>
      <c r="E22" s="703"/>
      <c r="F22" s="154"/>
      <c r="G22" s="139"/>
      <c r="H22" s="146"/>
    </row>
    <row r="23" spans="1:8" ht="18" customHeight="1">
      <c r="A23" s="158"/>
      <c r="B23" s="152" t="s">
        <v>526</v>
      </c>
      <c r="C23" s="464"/>
      <c r="D23" s="169">
        <v>41230007</v>
      </c>
      <c r="E23" s="703"/>
      <c r="F23" s="154">
        <v>30</v>
      </c>
      <c r="G23" s="139"/>
      <c r="H23" s="146"/>
    </row>
    <row r="24" spans="1:8" ht="18" customHeight="1">
      <c r="A24" s="158"/>
      <c r="B24" s="152" t="s">
        <v>584</v>
      </c>
      <c r="C24" s="464"/>
      <c r="D24" s="169">
        <v>41230008</v>
      </c>
      <c r="E24" s="703"/>
      <c r="F24" s="154">
        <v>0</v>
      </c>
      <c r="G24" s="139"/>
      <c r="H24" s="146"/>
    </row>
    <row r="25" spans="1:8" ht="18" customHeight="1">
      <c r="A25" s="158"/>
      <c r="B25" s="152" t="s">
        <v>549</v>
      </c>
      <c r="C25" s="464"/>
      <c r="D25" s="169">
        <v>41239999</v>
      </c>
      <c r="E25" s="703"/>
      <c r="F25" s="702"/>
      <c r="G25" s="139"/>
      <c r="H25" s="146"/>
    </row>
    <row r="26" spans="1:8" ht="18" customHeight="1">
      <c r="A26" s="158"/>
      <c r="B26" s="152" t="s">
        <v>617</v>
      </c>
      <c r="C26" s="464"/>
      <c r="D26" s="169">
        <v>41239999</v>
      </c>
      <c r="E26" s="703"/>
      <c r="F26" s="702"/>
      <c r="G26" s="155">
        <f>F11+F12+F13+F14+F15+F16+F18+F19+F17+F20+F21+F22+F23+F24+F25+F26</f>
        <v>28471.8</v>
      </c>
      <c r="H26" s="146"/>
    </row>
    <row r="27" spans="1:8" ht="18" customHeight="1">
      <c r="A27" s="158"/>
      <c r="B27" s="152" t="s">
        <v>585</v>
      </c>
      <c r="C27" s="464"/>
      <c r="D27" s="169">
        <v>41300002</v>
      </c>
      <c r="E27" s="703"/>
      <c r="F27" s="702">
        <v>35130</v>
      </c>
      <c r="G27" s="719"/>
      <c r="H27" s="146"/>
    </row>
    <row r="28" spans="1:8" ht="18" customHeight="1">
      <c r="A28" s="158"/>
      <c r="B28" s="152" t="s">
        <v>635</v>
      </c>
      <c r="C28" s="464"/>
      <c r="D28" s="169"/>
      <c r="E28" s="703"/>
      <c r="F28" s="702"/>
      <c r="G28" s="719">
        <f>F27+F28</f>
        <v>35130</v>
      </c>
      <c r="H28" s="146"/>
    </row>
    <row r="29" spans="1:8" ht="18" customHeight="1">
      <c r="A29" s="158"/>
      <c r="B29" s="152" t="s">
        <v>537</v>
      </c>
      <c r="C29" s="464"/>
      <c r="D29" s="169">
        <v>41500004</v>
      </c>
      <c r="E29" s="703"/>
      <c r="F29" s="702">
        <v>0</v>
      </c>
      <c r="G29" s="719"/>
      <c r="H29" s="146"/>
    </row>
    <row r="30" spans="1:8" ht="18" customHeight="1">
      <c r="A30" s="158"/>
      <c r="B30" s="152" t="s">
        <v>538</v>
      </c>
      <c r="C30" s="464"/>
      <c r="D30" s="169">
        <v>41500006</v>
      </c>
      <c r="E30" s="703"/>
      <c r="F30" s="154">
        <v>16</v>
      </c>
      <c r="G30" s="719"/>
      <c r="H30" s="146"/>
    </row>
    <row r="31" spans="1:8" ht="18" customHeight="1">
      <c r="A31" s="158"/>
      <c r="B31" s="152" t="s">
        <v>618</v>
      </c>
      <c r="C31" s="464"/>
      <c r="D31" s="169">
        <v>41599999</v>
      </c>
      <c r="E31" s="703"/>
      <c r="F31" s="702">
        <v>3406.5</v>
      </c>
      <c r="G31" s="719">
        <f>F30+F31+F29</f>
        <v>3422.5</v>
      </c>
      <c r="H31" s="146"/>
    </row>
    <row r="32" spans="1:8" ht="18" customHeight="1">
      <c r="A32" s="158"/>
      <c r="B32" s="152" t="s">
        <v>532</v>
      </c>
      <c r="C32" s="464"/>
      <c r="D32" s="169"/>
      <c r="E32" s="703"/>
      <c r="F32" s="702"/>
      <c r="G32" s="719"/>
      <c r="H32" s="146"/>
    </row>
    <row r="33" spans="1:8" ht="18" customHeight="1">
      <c r="A33" s="158"/>
      <c r="B33" s="152" t="s">
        <v>412</v>
      </c>
      <c r="C33" s="464"/>
      <c r="D33" s="169">
        <v>42100001</v>
      </c>
      <c r="E33" s="703"/>
      <c r="F33" s="154">
        <v>157788.43</v>
      </c>
      <c r="G33" s="139"/>
      <c r="H33" s="146"/>
    </row>
    <row r="34" spans="1:8" ht="18" customHeight="1">
      <c r="A34" s="158"/>
      <c r="B34" s="152" t="s">
        <v>586</v>
      </c>
      <c r="C34" s="464"/>
      <c r="D34" s="169">
        <v>42100002</v>
      </c>
      <c r="E34" s="703"/>
      <c r="F34" s="154">
        <v>1087750.2</v>
      </c>
      <c r="G34" s="139"/>
      <c r="H34" s="146"/>
    </row>
    <row r="35" spans="1:8" ht="19.5" customHeight="1">
      <c r="A35" s="158"/>
      <c r="B35" s="152" t="s">
        <v>587</v>
      </c>
      <c r="C35" s="464"/>
      <c r="D35" s="169">
        <v>42100004</v>
      </c>
      <c r="E35" s="703"/>
      <c r="F35" s="154">
        <v>152209.08</v>
      </c>
      <c r="G35" s="139"/>
      <c r="H35" s="146"/>
    </row>
    <row r="36" spans="1:8" ht="19.5" customHeight="1">
      <c r="A36" s="158"/>
      <c r="B36" s="152" t="s">
        <v>399</v>
      </c>
      <c r="C36" s="464"/>
      <c r="D36" s="169">
        <v>42100005</v>
      </c>
      <c r="E36" s="703"/>
      <c r="F36" s="154">
        <v>4954.74</v>
      </c>
      <c r="G36" s="139"/>
      <c r="H36" s="146"/>
    </row>
    <row r="37" spans="1:8" ht="19.5" customHeight="1">
      <c r="A37" s="158"/>
      <c r="B37" s="152" t="s">
        <v>416</v>
      </c>
      <c r="C37" s="464"/>
      <c r="D37" s="169">
        <v>42100006</v>
      </c>
      <c r="E37" s="703"/>
      <c r="F37" s="154">
        <v>53938</v>
      </c>
      <c r="G37" s="139"/>
      <c r="H37" s="146"/>
    </row>
    <row r="38" spans="1:8" ht="19.5" customHeight="1">
      <c r="A38" s="158"/>
      <c r="B38" s="152" t="s">
        <v>417</v>
      </c>
      <c r="C38" s="464"/>
      <c r="D38" s="169">
        <v>42100007</v>
      </c>
      <c r="E38" s="703"/>
      <c r="F38" s="154">
        <v>145287.21</v>
      </c>
      <c r="G38" s="139"/>
      <c r="H38" s="146"/>
    </row>
    <row r="39" spans="1:8" ht="19.5" customHeight="1">
      <c r="A39" s="158"/>
      <c r="B39" s="152" t="s">
        <v>541</v>
      </c>
      <c r="C39" s="464"/>
      <c r="D39" s="169">
        <v>42100012</v>
      </c>
      <c r="E39" s="703"/>
      <c r="F39" s="154">
        <v>12323.86</v>
      </c>
      <c r="G39" s="139"/>
      <c r="H39" s="146"/>
    </row>
    <row r="40" spans="1:8" ht="19.5" customHeight="1">
      <c r="A40" s="158"/>
      <c r="B40" s="152" t="s">
        <v>612</v>
      </c>
      <c r="C40" s="464"/>
      <c r="D40" s="169">
        <v>42100013</v>
      </c>
      <c r="E40" s="703"/>
      <c r="F40" s="154">
        <v>0</v>
      </c>
      <c r="G40" s="139"/>
      <c r="H40" s="146"/>
    </row>
    <row r="41" spans="1:8" ht="19.5" customHeight="1" thickBot="1">
      <c r="A41" s="494"/>
      <c r="B41" s="164" t="s">
        <v>588</v>
      </c>
      <c r="C41" s="497"/>
      <c r="D41" s="712">
        <v>42100015</v>
      </c>
      <c r="E41" s="705"/>
      <c r="F41" s="713">
        <v>0</v>
      </c>
      <c r="G41" s="155">
        <f>F33+F34+F35+F36+F37+F38+F39+F40+F41</f>
        <v>1614251.52</v>
      </c>
      <c r="H41" s="146"/>
    </row>
    <row r="42" spans="1:8" ht="19.5" customHeight="1" thickBot="1">
      <c r="A42" s="741"/>
      <c r="B42" s="742"/>
      <c r="C42" s="742" t="s">
        <v>70</v>
      </c>
      <c r="D42" s="709"/>
      <c r="E42" s="743"/>
      <c r="F42" s="743">
        <f>SUM(F6:F41)</f>
        <v>1715576.1800000002</v>
      </c>
      <c r="G42" s="139"/>
      <c r="H42" s="146"/>
    </row>
    <row r="43" spans="1:8" ht="19.5" customHeight="1">
      <c r="A43" s="735"/>
      <c r="B43" s="736"/>
      <c r="C43" s="736"/>
      <c r="D43" s="737"/>
      <c r="E43" s="738"/>
      <c r="F43" s="738"/>
      <c r="G43" s="139"/>
      <c r="H43" s="146"/>
    </row>
    <row r="44" spans="1:8" ht="19.5" customHeight="1">
      <c r="A44" s="735"/>
      <c r="B44" s="736"/>
      <c r="C44" s="736"/>
      <c r="D44" s="737"/>
      <c r="E44" s="738"/>
      <c r="F44" s="738"/>
      <c r="G44" s="139"/>
      <c r="H44" s="146"/>
    </row>
    <row r="45" spans="1:8" ht="19.5" customHeight="1">
      <c r="A45" s="139" t="s">
        <v>741</v>
      </c>
      <c r="B45" s="139"/>
      <c r="C45" s="139"/>
      <c r="D45" s="139"/>
      <c r="E45" s="139"/>
      <c r="F45" s="139"/>
      <c r="G45" s="139"/>
      <c r="H45" s="146"/>
    </row>
    <row r="46" spans="1:8" ht="19.5" customHeight="1">
      <c r="A46" s="763" t="s">
        <v>34</v>
      </c>
      <c r="B46" s="764"/>
      <c r="C46" s="763" t="s">
        <v>569</v>
      </c>
      <c r="D46" s="764"/>
      <c r="E46" s="763" t="s">
        <v>570</v>
      </c>
      <c r="F46" s="764"/>
      <c r="G46" s="139"/>
      <c r="H46" s="146"/>
    </row>
    <row r="47" spans="1:8" ht="19.5" customHeight="1">
      <c r="A47" s="676"/>
      <c r="B47" s="678"/>
      <c r="C47" s="422"/>
      <c r="D47" s="679"/>
      <c r="E47" s="676"/>
      <c r="F47" s="677"/>
      <c r="G47" s="139"/>
      <c r="H47" s="146"/>
    </row>
    <row r="48" spans="1:8" ht="19.5" customHeight="1">
      <c r="A48" s="746" t="s">
        <v>571</v>
      </c>
      <c r="B48" s="747"/>
      <c r="C48" s="766" t="s">
        <v>170</v>
      </c>
      <c r="D48" s="767"/>
      <c r="E48" s="746" t="s">
        <v>571</v>
      </c>
      <c r="F48" s="747"/>
      <c r="G48" s="139"/>
      <c r="H48" s="146"/>
    </row>
    <row r="49" spans="1:8" ht="19.5" customHeight="1">
      <c r="A49" s="748" t="s">
        <v>572</v>
      </c>
      <c r="B49" s="749"/>
      <c r="C49" s="779" t="s">
        <v>628</v>
      </c>
      <c r="D49" s="780"/>
      <c r="E49" s="748" t="s">
        <v>572</v>
      </c>
      <c r="F49" s="749"/>
      <c r="G49" s="139"/>
      <c r="H49" s="146"/>
    </row>
    <row r="50" spans="1:8" ht="19.5" customHeight="1">
      <c r="A50" s="169"/>
      <c r="B50" s="169"/>
      <c r="C50" s="170"/>
      <c r="D50" s="170"/>
      <c r="E50" s="169"/>
      <c r="F50" s="169"/>
      <c r="G50" s="139"/>
      <c r="H50" s="146"/>
    </row>
    <row r="51" spans="1:8" ht="19.5" customHeight="1">
      <c r="A51" s="169"/>
      <c r="B51" s="169"/>
      <c r="C51" s="170"/>
      <c r="D51" s="170"/>
      <c r="E51" s="169"/>
      <c r="F51" s="169"/>
      <c r="G51" s="139"/>
      <c r="H51" s="146"/>
    </row>
    <row r="52" spans="1:8" ht="23.25">
      <c r="A52" s="139"/>
      <c r="B52" s="139"/>
      <c r="C52" s="139"/>
      <c r="D52" s="139"/>
      <c r="E52" s="140"/>
      <c r="F52" s="710" t="s">
        <v>691</v>
      </c>
      <c r="G52" s="139"/>
      <c r="H52" s="146"/>
    </row>
    <row r="53" spans="1:8" ht="23.25">
      <c r="A53" s="139"/>
      <c r="B53" s="139"/>
      <c r="C53" s="139"/>
      <c r="D53" s="143" t="s">
        <v>742</v>
      </c>
      <c r="G53" s="139"/>
      <c r="H53" s="146"/>
    </row>
    <row r="54" spans="1:8" ht="23.25">
      <c r="A54" s="781" t="s">
        <v>576</v>
      </c>
      <c r="B54" s="781"/>
      <c r="C54" s="781"/>
      <c r="D54" s="781"/>
      <c r="E54" s="781"/>
      <c r="F54" s="781"/>
      <c r="G54" s="139"/>
      <c r="H54" s="146"/>
    </row>
    <row r="55" spans="1:8" ht="24" thickBot="1">
      <c r="A55" s="145" t="s">
        <v>378</v>
      </c>
      <c r="B55" s="139"/>
      <c r="C55" s="139"/>
      <c r="D55" s="139"/>
      <c r="E55" s="139"/>
      <c r="F55" s="139"/>
      <c r="G55" s="139"/>
      <c r="H55" s="146"/>
    </row>
    <row r="56" spans="1:8" ht="24" thickBot="1">
      <c r="A56" s="777" t="s">
        <v>52</v>
      </c>
      <c r="B56" s="778"/>
      <c r="C56" s="778"/>
      <c r="D56" s="698" t="s">
        <v>47</v>
      </c>
      <c r="E56" s="176" t="s">
        <v>9</v>
      </c>
      <c r="F56" s="176" t="s">
        <v>10</v>
      </c>
      <c r="G56" s="139"/>
      <c r="H56" s="146"/>
    </row>
    <row r="57" spans="1:8" ht="23.25">
      <c r="A57" s="158"/>
      <c r="B57" s="152" t="s">
        <v>294</v>
      </c>
      <c r="C57" s="464"/>
      <c r="D57" s="169">
        <v>41100001</v>
      </c>
      <c r="E57" s="700"/>
      <c r="F57" s="154"/>
      <c r="G57" s="139"/>
      <c r="H57" s="146"/>
    </row>
    <row r="58" spans="1:8" ht="23.25">
      <c r="A58" s="158"/>
      <c r="B58" s="152" t="s">
        <v>654</v>
      </c>
      <c r="C58" s="464"/>
      <c r="D58" s="169">
        <v>41100003</v>
      </c>
      <c r="E58" s="700"/>
      <c r="F58" s="154"/>
      <c r="G58" s="139"/>
      <c r="H58" s="146"/>
    </row>
    <row r="59" spans="1:8" ht="23.25">
      <c r="A59" s="158"/>
      <c r="B59" s="152" t="s">
        <v>692</v>
      </c>
      <c r="C59" s="464"/>
      <c r="D59" s="169">
        <v>41210009</v>
      </c>
      <c r="E59" s="700"/>
      <c r="F59" s="154"/>
      <c r="G59" s="139"/>
      <c r="H59" s="146"/>
    </row>
    <row r="60" spans="1:8" ht="23.25">
      <c r="A60" s="158"/>
      <c r="B60" s="152" t="s">
        <v>693</v>
      </c>
      <c r="C60" s="464"/>
      <c r="D60" s="169">
        <v>41210004</v>
      </c>
      <c r="E60" s="700"/>
      <c r="F60" s="154"/>
      <c r="G60" s="139"/>
      <c r="H60" s="146"/>
    </row>
    <row r="61" spans="1:7" ht="21.75" customHeight="1">
      <c r="A61" s="158"/>
      <c r="B61" s="152" t="s">
        <v>653</v>
      </c>
      <c r="C61" s="464"/>
      <c r="D61" s="169">
        <v>41210007</v>
      </c>
      <c r="E61" s="700"/>
      <c r="F61" s="154"/>
      <c r="G61" s="139"/>
    </row>
    <row r="62" spans="1:7" ht="21.75" customHeight="1">
      <c r="A62" s="158"/>
      <c r="B62" s="152" t="s">
        <v>694</v>
      </c>
      <c r="C62" s="464"/>
      <c r="D62" s="169">
        <v>41210008</v>
      </c>
      <c r="E62" s="700"/>
      <c r="F62" s="154"/>
      <c r="G62" s="139"/>
    </row>
    <row r="63" spans="1:7" ht="21.75" customHeight="1">
      <c r="A63" s="158"/>
      <c r="B63" s="152" t="s">
        <v>695</v>
      </c>
      <c r="C63" s="464"/>
      <c r="D63" s="169">
        <v>41220002</v>
      </c>
      <c r="E63" s="703"/>
      <c r="F63" s="154"/>
      <c r="G63" s="139"/>
    </row>
    <row r="64" spans="1:7" ht="21.75" customHeight="1">
      <c r="A64" s="158"/>
      <c r="B64" s="739" t="s">
        <v>696</v>
      </c>
      <c r="C64" s="464"/>
      <c r="D64" s="169">
        <v>41220007</v>
      </c>
      <c r="E64" s="700"/>
      <c r="F64" s="718"/>
      <c r="G64" s="139"/>
    </row>
    <row r="65" spans="1:7" ht="21.75" customHeight="1">
      <c r="A65" s="158"/>
      <c r="B65" s="152" t="s">
        <v>697</v>
      </c>
      <c r="C65" s="464"/>
      <c r="D65" s="169">
        <v>41210013</v>
      </c>
      <c r="E65" s="700"/>
      <c r="F65" s="718"/>
      <c r="G65" s="139"/>
    </row>
    <row r="66" spans="1:7" ht="21.75" customHeight="1">
      <c r="A66" s="158"/>
      <c r="B66" s="152" t="s">
        <v>623</v>
      </c>
      <c r="C66" s="464"/>
      <c r="D66" s="169">
        <v>41210029</v>
      </c>
      <c r="E66" s="703"/>
      <c r="F66" s="718">
        <v>1663775</v>
      </c>
      <c r="G66" s="139"/>
    </row>
    <row r="67" spans="1:7" ht="21.75" customHeight="1">
      <c r="A67" s="158"/>
      <c r="B67" s="152" t="s">
        <v>651</v>
      </c>
      <c r="C67" s="464"/>
      <c r="D67" s="169">
        <v>41219999</v>
      </c>
      <c r="E67" s="703"/>
      <c r="F67" s="718">
        <v>30000</v>
      </c>
      <c r="G67" s="139"/>
    </row>
    <row r="68" spans="1:7" ht="21.75" customHeight="1">
      <c r="A68" s="158"/>
      <c r="B68" s="152" t="s">
        <v>652</v>
      </c>
      <c r="C68" s="464"/>
      <c r="D68" s="169">
        <v>41220010</v>
      </c>
      <c r="E68" s="703"/>
      <c r="F68" s="718">
        <v>1320</v>
      </c>
      <c r="G68" s="139"/>
    </row>
    <row r="69" spans="1:7" ht="21.75" customHeight="1">
      <c r="A69" s="158"/>
      <c r="B69" s="152" t="s">
        <v>698</v>
      </c>
      <c r="C69" s="464"/>
      <c r="D69" s="169">
        <v>41230003</v>
      </c>
      <c r="E69" s="703"/>
      <c r="F69" s="718"/>
      <c r="G69" s="139"/>
    </row>
    <row r="70" spans="1:7" ht="21.75" customHeight="1">
      <c r="A70" s="158"/>
      <c r="B70" s="457" t="s">
        <v>699</v>
      </c>
      <c r="C70" s="464"/>
      <c r="D70" s="169">
        <v>41230004</v>
      </c>
      <c r="E70" s="703"/>
      <c r="F70" s="154"/>
      <c r="G70" s="139"/>
    </row>
    <row r="71" spans="1:7" ht="21.75" customHeight="1">
      <c r="A71" s="158"/>
      <c r="B71" s="761" t="s">
        <v>700</v>
      </c>
      <c r="C71" s="762"/>
      <c r="D71" s="169">
        <v>41230005</v>
      </c>
      <c r="E71" s="703"/>
      <c r="F71" s="154"/>
      <c r="G71" s="155">
        <f>F69+F70+F71</f>
        <v>0</v>
      </c>
    </row>
    <row r="72" spans="1:7" ht="21.75" customHeight="1">
      <c r="A72" s="158"/>
      <c r="B72" s="152" t="s">
        <v>251</v>
      </c>
      <c r="C72" s="464"/>
      <c r="D72" s="169">
        <v>41230007</v>
      </c>
      <c r="E72" s="703"/>
      <c r="F72" s="154">
        <v>52500</v>
      </c>
      <c r="G72" s="139"/>
    </row>
    <row r="73" spans="1:7" ht="21.75" customHeight="1">
      <c r="A73" s="158"/>
      <c r="B73" s="152" t="s">
        <v>611</v>
      </c>
      <c r="C73" s="464"/>
      <c r="D73" s="169">
        <v>41230008</v>
      </c>
      <c r="E73" s="703"/>
      <c r="F73" s="154">
        <v>0</v>
      </c>
      <c r="G73" s="139"/>
    </row>
    <row r="74" spans="1:7" ht="21.75" customHeight="1">
      <c r="A74" s="158"/>
      <c r="B74" s="152"/>
      <c r="C74" s="464"/>
      <c r="D74" s="169"/>
      <c r="E74" s="703"/>
      <c r="F74" s="702"/>
      <c r="G74" s="139"/>
    </row>
    <row r="75" spans="1:7" ht="21.75" customHeight="1">
      <c r="A75" s="158"/>
      <c r="B75" s="152"/>
      <c r="C75" s="464"/>
      <c r="D75" s="169"/>
      <c r="E75" s="703"/>
      <c r="F75" s="154"/>
      <c r="G75" s="139"/>
    </row>
    <row r="76" spans="1:7" ht="21.75" customHeight="1">
      <c r="A76" s="158"/>
      <c r="B76" s="152"/>
      <c r="C76" s="464"/>
      <c r="D76" s="169"/>
      <c r="E76" s="703"/>
      <c r="F76" s="702"/>
      <c r="G76" s="139"/>
    </row>
    <row r="77" spans="1:7" ht="21.75" customHeight="1">
      <c r="A77" s="158"/>
      <c r="B77" s="152"/>
      <c r="C77" s="464"/>
      <c r="D77" s="169"/>
      <c r="E77" s="703"/>
      <c r="F77" s="702"/>
      <c r="G77" s="139"/>
    </row>
    <row r="78" spans="1:7" ht="21.75" customHeight="1">
      <c r="A78" s="158"/>
      <c r="B78" s="152"/>
      <c r="C78" s="464"/>
      <c r="D78" s="169"/>
      <c r="E78" s="703"/>
      <c r="F78" s="702"/>
      <c r="G78" s="139"/>
    </row>
    <row r="79" spans="1:7" ht="21.75" customHeight="1">
      <c r="A79" s="158"/>
      <c r="B79" s="152"/>
      <c r="C79" s="464"/>
      <c r="D79" s="169"/>
      <c r="E79" s="703"/>
      <c r="F79" s="702"/>
      <c r="G79" s="139"/>
    </row>
    <row r="80" spans="1:7" ht="21.75" customHeight="1">
      <c r="A80" s="158"/>
      <c r="B80" s="152"/>
      <c r="C80" s="464"/>
      <c r="D80" s="169"/>
      <c r="E80" s="703"/>
      <c r="F80" s="702"/>
      <c r="G80" s="139"/>
    </row>
    <row r="81" spans="1:7" ht="21.75" customHeight="1">
      <c r="A81" s="158"/>
      <c r="B81" s="152"/>
      <c r="C81" s="464"/>
      <c r="D81" s="169"/>
      <c r="E81" s="703"/>
      <c r="F81" s="701"/>
      <c r="G81" s="139"/>
    </row>
    <row r="82" spans="1:7" ht="21.75" customHeight="1">
      <c r="A82" s="158"/>
      <c r="B82" s="152"/>
      <c r="C82" s="464"/>
      <c r="D82" s="169"/>
      <c r="E82" s="703"/>
      <c r="F82" s="154"/>
      <c r="G82" s="139"/>
    </row>
    <row r="83" spans="1:7" ht="21.75" customHeight="1">
      <c r="A83" s="158"/>
      <c r="B83" s="152"/>
      <c r="C83" s="464"/>
      <c r="D83" s="169"/>
      <c r="E83" s="703"/>
      <c r="F83" s="154"/>
      <c r="G83" s="139"/>
    </row>
    <row r="84" spans="1:7" ht="21.75" customHeight="1">
      <c r="A84" s="158"/>
      <c r="C84" s="464"/>
      <c r="D84" s="169"/>
      <c r="E84" s="703"/>
      <c r="F84" s="154"/>
      <c r="G84" s="139"/>
    </row>
    <row r="85" spans="1:7" ht="21.75" customHeight="1">
      <c r="A85" s="158"/>
      <c r="B85" s="152"/>
      <c r="C85" s="464"/>
      <c r="D85" s="169"/>
      <c r="E85" s="703"/>
      <c r="F85" s="154"/>
      <c r="G85" s="139"/>
    </row>
    <row r="86" spans="1:7" ht="21.75" customHeight="1" thickBot="1">
      <c r="A86" s="494"/>
      <c r="B86" s="740"/>
      <c r="C86" s="497"/>
      <c r="D86" s="712"/>
      <c r="E86" s="705"/>
      <c r="F86" s="713"/>
      <c r="G86" s="139"/>
    </row>
    <row r="87" spans="1:7" ht="21.75" customHeight="1" thickBot="1">
      <c r="A87" s="706" t="s">
        <v>73</v>
      </c>
      <c r="B87" s="707"/>
      <c r="C87" s="708"/>
      <c r="D87" s="709"/>
      <c r="E87" s="704">
        <f>E6</f>
        <v>3463171.18</v>
      </c>
      <c r="F87" s="704">
        <f>F42+F57+F58+F59+F60+F61+F62+F63+F64+F65+F66+F67+F68+F69+F70+F71+F72+F73</f>
        <v>3463171.18</v>
      </c>
      <c r="G87" s="139"/>
    </row>
    <row r="88" spans="1:7" ht="21.75" customHeight="1">
      <c r="A88" s="139" t="s">
        <v>741</v>
      </c>
      <c r="B88" s="139"/>
      <c r="C88" s="139"/>
      <c r="D88" s="139"/>
      <c r="E88" s="139"/>
      <c r="F88" s="139"/>
      <c r="G88" s="139"/>
    </row>
    <row r="89" spans="1:7" ht="21.75" customHeight="1">
      <c r="A89" s="763" t="s">
        <v>34</v>
      </c>
      <c r="B89" s="764"/>
      <c r="C89" s="763" t="s">
        <v>569</v>
      </c>
      <c r="D89" s="764"/>
      <c r="E89" s="763" t="s">
        <v>570</v>
      </c>
      <c r="F89" s="764"/>
      <c r="G89" s="139"/>
    </row>
    <row r="90" spans="1:7" ht="21.75" customHeight="1">
      <c r="A90" s="676"/>
      <c r="B90" s="678"/>
      <c r="C90" s="422"/>
      <c r="D90" s="679"/>
      <c r="E90" s="676"/>
      <c r="F90" s="677"/>
      <c r="G90" s="139"/>
    </row>
    <row r="91" spans="1:7" ht="21.75" customHeight="1">
      <c r="A91" s="746" t="s">
        <v>571</v>
      </c>
      <c r="B91" s="747"/>
      <c r="C91" s="766" t="s">
        <v>170</v>
      </c>
      <c r="D91" s="767"/>
      <c r="E91" s="746" t="s">
        <v>571</v>
      </c>
      <c r="F91" s="747"/>
      <c r="G91" s="139"/>
    </row>
    <row r="92" spans="1:7" ht="21.75" customHeight="1">
      <c r="A92" s="748" t="s">
        <v>572</v>
      </c>
      <c r="B92" s="749"/>
      <c r="C92" s="779" t="s">
        <v>628</v>
      </c>
      <c r="D92" s="780"/>
      <c r="E92" s="748" t="s">
        <v>572</v>
      </c>
      <c r="F92" s="749"/>
      <c r="G92" s="139"/>
    </row>
    <row r="93" spans="1:7" ht="21.75" customHeight="1">
      <c r="A93" s="139"/>
      <c r="B93" s="139"/>
      <c r="C93" s="139"/>
      <c r="D93" s="139"/>
      <c r="E93" s="139"/>
      <c r="F93" s="139"/>
      <c r="G93" s="139"/>
    </row>
    <row r="94" spans="1:7" ht="21.75" customHeight="1">
      <c r="A94" s="139"/>
      <c r="B94" s="139"/>
      <c r="C94" s="139"/>
      <c r="D94" s="139"/>
      <c r="E94" s="139"/>
      <c r="F94" s="139"/>
      <c r="G94" s="139"/>
    </row>
    <row r="95" spans="1:7" ht="21.75" customHeight="1">
      <c r="A95" s="139"/>
      <c r="B95" s="139"/>
      <c r="C95" s="139"/>
      <c r="D95" s="139"/>
      <c r="E95" s="139"/>
      <c r="F95" s="139"/>
      <c r="G95" s="139"/>
    </row>
    <row r="96" spans="1:7" ht="21.75" customHeight="1">
      <c r="A96" s="139"/>
      <c r="B96" s="139"/>
      <c r="C96" s="139"/>
      <c r="D96" s="139" t="s">
        <v>267</v>
      </c>
      <c r="E96" s="139"/>
      <c r="F96" s="139"/>
      <c r="G96" s="139"/>
    </row>
    <row r="97" spans="1:7" ht="21.75" customHeight="1">
      <c r="A97" s="139"/>
      <c r="B97" s="139"/>
      <c r="C97" s="139"/>
      <c r="D97" s="139" t="s">
        <v>589</v>
      </c>
      <c r="E97" s="139"/>
      <c r="F97" s="139"/>
      <c r="G97" s="139"/>
    </row>
    <row r="98" spans="1:7" ht="21.75" customHeight="1">
      <c r="A98" s="139"/>
      <c r="B98" s="139"/>
      <c r="C98" s="139"/>
      <c r="D98" s="139" t="s">
        <v>590</v>
      </c>
      <c r="E98" s="139"/>
      <c r="F98" s="139"/>
      <c r="G98" s="139"/>
    </row>
    <row r="99" ht="21.75" customHeight="1"/>
  </sheetData>
  <sheetProtection/>
  <mergeCells count="24">
    <mergeCell ref="A49:B49"/>
    <mergeCell ref="C49:D49"/>
    <mergeCell ref="E49:F49"/>
    <mergeCell ref="A46:B46"/>
    <mergeCell ref="C46:D46"/>
    <mergeCell ref="E46:F46"/>
    <mergeCell ref="B22:C22"/>
    <mergeCell ref="A3:F3"/>
    <mergeCell ref="A5:C5"/>
    <mergeCell ref="A48:B48"/>
    <mergeCell ref="C48:D48"/>
    <mergeCell ref="E48:F48"/>
    <mergeCell ref="A54:F54"/>
    <mergeCell ref="A56:C56"/>
    <mergeCell ref="B71:C71"/>
    <mergeCell ref="A89:B89"/>
    <mergeCell ref="C89:D89"/>
    <mergeCell ref="E89:F89"/>
    <mergeCell ref="A91:B91"/>
    <mergeCell ref="C91:D91"/>
    <mergeCell ref="E91:F91"/>
    <mergeCell ref="A92:B92"/>
    <mergeCell ref="C92:D92"/>
    <mergeCell ref="E92:F92"/>
  </mergeCells>
  <printOptions/>
  <pageMargins left="0.31496062992125984" right="0.31496062992125984" top="0.15748031496062992" bottom="0.15748031496062992" header="0.31496062992125984" footer="0.31496062992125984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3"/>
  <sheetViews>
    <sheetView view="pageBreakPreview" zoomScaleSheetLayoutView="100" zoomScalePageLayoutView="0" workbookViewId="0" topLeftCell="A115">
      <selection activeCell="F21" sqref="F21"/>
    </sheetView>
  </sheetViews>
  <sheetFormatPr defaultColWidth="9.140625" defaultRowHeight="21" customHeight="1"/>
  <cols>
    <col min="1" max="1" width="11.8515625" style="1" customWidth="1"/>
    <col min="2" max="2" width="24.140625" style="1" customWidth="1"/>
    <col min="3" max="3" width="16.421875" style="1" customWidth="1"/>
    <col min="4" max="4" width="17.8515625" style="2" customWidth="1"/>
    <col min="5" max="5" width="17.140625" style="587" customWidth="1"/>
    <col min="6" max="6" width="17.28125" style="2" customWidth="1"/>
    <col min="7" max="7" width="16.8515625" style="2" customWidth="1"/>
    <col min="8" max="8" width="7.140625" style="159" customWidth="1"/>
    <col min="9" max="9" width="61.140625" style="1" customWidth="1"/>
    <col min="10" max="16384" width="9.140625" style="1" customWidth="1"/>
  </cols>
  <sheetData>
    <row r="1" spans="1:7" ht="21" customHeight="1">
      <c r="A1" s="254"/>
      <c r="B1" s="254"/>
      <c r="C1" s="240"/>
      <c r="D1" s="172"/>
      <c r="E1" s="172"/>
      <c r="F1" s="172"/>
      <c r="G1" s="172"/>
    </row>
    <row r="2" spans="6:7" ht="21" customHeight="1">
      <c r="F2" s="789" t="s">
        <v>621</v>
      </c>
      <c r="G2" s="789"/>
    </row>
    <row r="3" spans="5:7" ht="21" customHeight="1">
      <c r="E3" s="756" t="s">
        <v>745</v>
      </c>
      <c r="F3" s="756"/>
      <c r="G3" s="756"/>
    </row>
    <row r="4" spans="1:7" ht="21" customHeight="1">
      <c r="A4" s="754" t="s">
        <v>89</v>
      </c>
      <c r="B4" s="754"/>
      <c r="C4" s="754"/>
      <c r="D4" s="754"/>
      <c r="E4" s="754"/>
      <c r="F4" s="754"/>
      <c r="G4" s="754"/>
    </row>
    <row r="5" spans="1:4" ht="21" customHeight="1" thickBot="1">
      <c r="A5" s="174" t="s">
        <v>121</v>
      </c>
      <c r="B5" s="174"/>
      <c r="C5" s="174"/>
      <c r="D5" s="223"/>
    </row>
    <row r="6" spans="1:7" ht="21" customHeight="1" thickBot="1">
      <c r="A6" s="777" t="s">
        <v>52</v>
      </c>
      <c r="B6" s="782"/>
      <c r="C6" s="782"/>
      <c r="D6" s="783"/>
      <c r="E6" s="588" t="s">
        <v>47</v>
      </c>
      <c r="F6" s="225" t="s">
        <v>9</v>
      </c>
      <c r="G6" s="226" t="s">
        <v>10</v>
      </c>
    </row>
    <row r="7" spans="1:7" ht="21" customHeight="1">
      <c r="A7" s="185" t="s">
        <v>45</v>
      </c>
      <c r="B7" s="186"/>
      <c r="C7" s="186"/>
      <c r="D7" s="186"/>
      <c r="E7" s="589" t="s">
        <v>242</v>
      </c>
      <c r="F7" s="227">
        <f>E23</f>
        <v>473300</v>
      </c>
      <c r="G7" s="228"/>
    </row>
    <row r="8" spans="1:7" ht="21" customHeight="1">
      <c r="A8" s="185"/>
      <c r="B8" s="186" t="s">
        <v>360</v>
      </c>
      <c r="C8" s="186"/>
      <c r="E8" s="590" t="s">
        <v>247</v>
      </c>
      <c r="F8" s="230"/>
      <c r="G8" s="231">
        <f>SUM(F7:F7)</f>
        <v>473300</v>
      </c>
    </row>
    <row r="9" spans="1:7" ht="21" customHeight="1">
      <c r="A9" s="232"/>
      <c r="B9" s="233"/>
      <c r="C9" s="233"/>
      <c r="D9" s="233"/>
      <c r="E9" s="590"/>
      <c r="F9" s="230"/>
      <c r="G9" s="231"/>
    </row>
    <row r="10" spans="1:7" ht="21" customHeight="1">
      <c r="A10" s="232"/>
      <c r="B10" s="233"/>
      <c r="C10" s="233"/>
      <c r="D10" s="233"/>
      <c r="E10" s="590"/>
      <c r="F10" s="230"/>
      <c r="G10" s="231"/>
    </row>
    <row r="11" spans="1:7" ht="21" customHeight="1">
      <c r="A11" s="232"/>
      <c r="B11" s="233"/>
      <c r="C11" s="233"/>
      <c r="D11" s="233"/>
      <c r="E11" s="590"/>
      <c r="F11" s="230"/>
      <c r="G11" s="231"/>
    </row>
    <row r="12" spans="1:7" ht="21" customHeight="1">
      <c r="A12" s="232"/>
      <c r="B12" s="233"/>
      <c r="C12" s="233"/>
      <c r="D12" s="233"/>
      <c r="E12" s="590"/>
      <c r="F12" s="230"/>
      <c r="G12" s="231"/>
    </row>
    <row r="13" spans="1:7" ht="21" customHeight="1">
      <c r="A13" s="232"/>
      <c r="B13" s="233"/>
      <c r="C13" s="233"/>
      <c r="D13" s="233"/>
      <c r="E13" s="590"/>
      <c r="F13" s="234"/>
      <c r="G13" s="231"/>
    </row>
    <row r="14" spans="1:7" ht="21" customHeight="1">
      <c r="A14" s="232"/>
      <c r="B14" s="233"/>
      <c r="C14" s="233"/>
      <c r="D14" s="233"/>
      <c r="E14" s="590"/>
      <c r="F14" s="234"/>
      <c r="G14" s="231"/>
    </row>
    <row r="15" spans="1:7" ht="21" customHeight="1" thickBot="1">
      <c r="A15" s="235"/>
      <c r="B15" s="236"/>
      <c r="C15" s="236"/>
      <c r="D15" s="237"/>
      <c r="E15" s="591"/>
      <c r="F15" s="238">
        <f>SUM(F7:F8)</f>
        <v>473300</v>
      </c>
      <c r="G15" s="239">
        <f>SUM(G8:G8)</f>
        <v>473300</v>
      </c>
    </row>
    <row r="16" spans="1:7" ht="21" customHeight="1" thickTop="1">
      <c r="A16" s="217" t="s">
        <v>90</v>
      </c>
      <c r="B16" s="240" t="s">
        <v>746</v>
      </c>
      <c r="C16" s="241"/>
      <c r="D16" s="242"/>
      <c r="E16" s="532"/>
      <c r="F16" s="552"/>
      <c r="G16" s="686"/>
    </row>
    <row r="17" spans="1:7" ht="21" customHeight="1">
      <c r="A17" s="244"/>
      <c r="B17" s="240"/>
      <c r="C17" s="241"/>
      <c r="D17" s="242"/>
      <c r="E17" s="532"/>
      <c r="F17" s="171"/>
      <c r="G17" s="683"/>
    </row>
    <row r="18" spans="1:7" ht="21" customHeight="1">
      <c r="A18" s="245">
        <v>1</v>
      </c>
      <c r="B18" s="805" t="s">
        <v>747</v>
      </c>
      <c r="C18" s="805"/>
      <c r="D18" s="805"/>
      <c r="E18" s="170" t="s">
        <v>46</v>
      </c>
      <c r="F18" s="532">
        <v>376500</v>
      </c>
      <c r="G18" s="683" t="s">
        <v>30</v>
      </c>
    </row>
    <row r="19" spans="1:7" ht="21" customHeight="1">
      <c r="A19" s="245">
        <v>2</v>
      </c>
      <c r="B19" s="805" t="s">
        <v>748</v>
      </c>
      <c r="C19" s="805"/>
      <c r="D19" s="805"/>
      <c r="E19" s="532"/>
      <c r="F19" s="171">
        <v>91200</v>
      </c>
      <c r="G19" s="683" t="s">
        <v>30</v>
      </c>
    </row>
    <row r="20" spans="1:7" ht="21" customHeight="1">
      <c r="A20" s="245">
        <v>3</v>
      </c>
      <c r="B20" s="805" t="s">
        <v>749</v>
      </c>
      <c r="C20" s="805"/>
      <c r="D20" s="805"/>
      <c r="E20" s="532"/>
      <c r="F20" s="171">
        <v>5600</v>
      </c>
      <c r="G20" s="683" t="s">
        <v>30</v>
      </c>
    </row>
    <row r="21" spans="1:7" ht="21" customHeight="1">
      <c r="A21" s="245"/>
      <c r="B21" s="529"/>
      <c r="C21" s="247"/>
      <c r="E21" s="170"/>
      <c r="F21" s="532"/>
      <c r="G21" s="683"/>
    </row>
    <row r="22" spans="1:7" ht="21" customHeight="1">
      <c r="A22" s="245"/>
      <c r="B22" s="807"/>
      <c r="C22" s="807"/>
      <c r="D22" s="807"/>
      <c r="E22" s="170"/>
      <c r="F22" s="537"/>
      <c r="G22" s="683"/>
    </row>
    <row r="23" spans="1:7" ht="21" customHeight="1" thickBot="1">
      <c r="A23" s="251"/>
      <c r="B23" s="648"/>
      <c r="C23" s="255" t="s">
        <v>70</v>
      </c>
      <c r="D23" s="219"/>
      <c r="E23" s="680">
        <f>SUM(F18:F22)</f>
        <v>473300</v>
      </c>
      <c r="F23" s="171"/>
      <c r="G23" s="683"/>
    </row>
    <row r="24" spans="1:7" ht="21" customHeight="1">
      <c r="A24" s="763" t="s">
        <v>34</v>
      </c>
      <c r="B24" s="764"/>
      <c r="C24" s="784" t="s">
        <v>569</v>
      </c>
      <c r="D24" s="785"/>
      <c r="E24" s="786"/>
      <c r="F24" s="787" t="s">
        <v>570</v>
      </c>
      <c r="G24" s="788"/>
    </row>
    <row r="25" spans="1:7" ht="21" customHeight="1">
      <c r="A25" s="676"/>
      <c r="B25" s="678"/>
      <c r="C25" s="422"/>
      <c r="D25" s="256"/>
      <c r="E25" s="647"/>
      <c r="F25" s="682"/>
      <c r="G25" s="683"/>
    </row>
    <row r="26" spans="1:7" ht="21" customHeight="1">
      <c r="A26" s="676"/>
      <c r="B26" s="678"/>
      <c r="C26" s="422"/>
      <c r="D26" s="171"/>
      <c r="E26" s="681"/>
      <c r="F26" s="422"/>
      <c r="G26" s="683"/>
    </row>
    <row r="27" spans="1:7" ht="21" customHeight="1">
      <c r="A27" s="746" t="s">
        <v>571</v>
      </c>
      <c r="B27" s="747"/>
      <c r="C27" s="766" t="s">
        <v>170</v>
      </c>
      <c r="D27" s="793"/>
      <c r="E27" s="767"/>
      <c r="F27" s="766" t="s">
        <v>571</v>
      </c>
      <c r="G27" s="767"/>
    </row>
    <row r="28" spans="1:7" ht="21" customHeight="1">
      <c r="A28" s="748" t="s">
        <v>572</v>
      </c>
      <c r="B28" s="749"/>
      <c r="C28" s="790" t="s">
        <v>628</v>
      </c>
      <c r="D28" s="791"/>
      <c r="E28" s="792"/>
      <c r="F28" s="779" t="s">
        <v>572</v>
      </c>
      <c r="G28" s="780"/>
    </row>
    <row r="43" spans="1:7" ht="21" customHeight="1">
      <c r="A43" s="254"/>
      <c r="B43" s="254"/>
      <c r="C43" s="240"/>
      <c r="D43" s="172"/>
      <c r="E43" s="172"/>
      <c r="F43" s="172"/>
      <c r="G43" s="172"/>
    </row>
    <row r="44" spans="6:7" ht="21" customHeight="1">
      <c r="F44" s="789" t="s">
        <v>619</v>
      </c>
      <c r="G44" s="789"/>
    </row>
    <row r="45" spans="5:7" ht="21" customHeight="1">
      <c r="E45" s="756" t="s">
        <v>721</v>
      </c>
      <c r="F45" s="756"/>
      <c r="G45" s="756"/>
    </row>
    <row r="46" spans="1:7" ht="21" customHeight="1">
      <c r="A46" s="754" t="s">
        <v>89</v>
      </c>
      <c r="B46" s="754"/>
      <c r="C46" s="754"/>
      <c r="D46" s="754"/>
      <c r="E46" s="754"/>
      <c r="F46" s="754"/>
      <c r="G46" s="754"/>
    </row>
    <row r="47" spans="1:4" ht="21" customHeight="1" thickBot="1">
      <c r="A47" s="174" t="s">
        <v>121</v>
      </c>
      <c r="B47" s="174"/>
      <c r="C47" s="174"/>
      <c r="D47" s="223"/>
    </row>
    <row r="48" spans="1:7" ht="21" customHeight="1" thickBot="1">
      <c r="A48" s="777" t="s">
        <v>52</v>
      </c>
      <c r="B48" s="782"/>
      <c r="C48" s="782"/>
      <c r="D48" s="783"/>
      <c r="E48" s="588" t="s">
        <v>47</v>
      </c>
      <c r="F48" s="225" t="s">
        <v>9</v>
      </c>
      <c r="G48" s="226" t="s">
        <v>10</v>
      </c>
    </row>
    <row r="49" spans="1:7" ht="21" customHeight="1">
      <c r="A49" s="185" t="s">
        <v>109</v>
      </c>
      <c r="B49" s="186"/>
      <c r="C49" s="186"/>
      <c r="D49" s="186"/>
      <c r="E49" s="589" t="s">
        <v>242</v>
      </c>
      <c r="F49" s="227">
        <f>E79</f>
        <v>2258106.4199999995</v>
      </c>
      <c r="G49" s="228"/>
    </row>
    <row r="50" spans="1:7" ht="21" customHeight="1">
      <c r="A50" s="185"/>
      <c r="B50" s="186" t="s">
        <v>110</v>
      </c>
      <c r="C50" s="186"/>
      <c r="E50" s="590" t="s">
        <v>241</v>
      </c>
      <c r="F50" s="230"/>
      <c r="G50" s="231">
        <f>E79</f>
        <v>2258106.4199999995</v>
      </c>
    </row>
    <row r="51" spans="1:7" ht="21" customHeight="1">
      <c r="A51" s="232"/>
      <c r="B51" s="233"/>
      <c r="C51" s="233"/>
      <c r="D51" s="233"/>
      <c r="E51" s="590"/>
      <c r="F51" s="230"/>
      <c r="G51" s="231"/>
    </row>
    <row r="52" spans="1:7" ht="21" customHeight="1">
      <c r="A52" s="232"/>
      <c r="B52" s="233"/>
      <c r="C52" s="233"/>
      <c r="D52" s="233"/>
      <c r="E52" s="590"/>
      <c r="F52" s="230"/>
      <c r="G52" s="231"/>
    </row>
    <row r="53" spans="1:7" ht="21" customHeight="1">
      <c r="A53" s="232"/>
      <c r="B53" s="233"/>
      <c r="C53" s="233"/>
      <c r="D53" s="233"/>
      <c r="E53" s="590"/>
      <c r="F53" s="234"/>
      <c r="G53" s="231"/>
    </row>
    <row r="54" spans="1:7" ht="21" customHeight="1" thickBot="1">
      <c r="A54" s="235"/>
      <c r="B54" s="236"/>
      <c r="C54" s="236"/>
      <c r="D54" s="237"/>
      <c r="E54" s="591"/>
      <c r="F54" s="238">
        <f>SUM(F49:F50)</f>
        <v>2258106.4199999995</v>
      </c>
      <c r="G54" s="239">
        <f>SUM(G50:G50)</f>
        <v>2258106.4199999995</v>
      </c>
    </row>
    <row r="55" spans="1:7" ht="21" customHeight="1" thickTop="1">
      <c r="A55" s="217" t="s">
        <v>90</v>
      </c>
      <c r="B55" s="240" t="s">
        <v>124</v>
      </c>
      <c r="C55" s="241"/>
      <c r="D55" s="242"/>
      <c r="E55" s="532"/>
      <c r="F55" s="171"/>
      <c r="G55" s="686"/>
    </row>
    <row r="56" spans="1:7" ht="21" customHeight="1">
      <c r="A56" s="244"/>
      <c r="B56" s="240" t="s">
        <v>171</v>
      </c>
      <c r="C56" s="241"/>
      <c r="D56" s="242"/>
      <c r="E56" s="532"/>
      <c r="F56" s="171"/>
      <c r="G56" s="683"/>
    </row>
    <row r="57" spans="1:7" ht="21" customHeight="1">
      <c r="A57" s="245">
        <v>1</v>
      </c>
      <c r="B57" s="240" t="s">
        <v>722</v>
      </c>
      <c r="C57" s="732"/>
      <c r="D57" s="246"/>
      <c r="E57" s="170" t="s">
        <v>46</v>
      </c>
      <c r="F57" s="532">
        <v>11632</v>
      </c>
      <c r="G57" s="683" t="s">
        <v>30</v>
      </c>
    </row>
    <row r="58" spans="1:7" ht="21" customHeight="1">
      <c r="A58" s="245">
        <v>2</v>
      </c>
      <c r="B58" s="529" t="s">
        <v>723</v>
      </c>
      <c r="C58" s="731" t="s">
        <v>679</v>
      </c>
      <c r="D58" s="246"/>
      <c r="E58" s="170" t="s">
        <v>46</v>
      </c>
      <c r="F58" s="537">
        <v>250320.15</v>
      </c>
      <c r="G58" s="683" t="s">
        <v>30</v>
      </c>
    </row>
    <row r="59" spans="1:7" ht="21" customHeight="1">
      <c r="A59" s="245">
        <v>3</v>
      </c>
      <c r="B59" s="529" t="s">
        <v>416</v>
      </c>
      <c r="C59" s="246"/>
      <c r="D59" s="246"/>
      <c r="E59" s="170" t="s">
        <v>46</v>
      </c>
      <c r="F59" s="532">
        <v>134164.56</v>
      </c>
      <c r="G59" s="683" t="s">
        <v>30</v>
      </c>
    </row>
    <row r="60" spans="1:7" ht="21" customHeight="1">
      <c r="A60" s="245">
        <v>4</v>
      </c>
      <c r="B60" s="540" t="s">
        <v>417</v>
      </c>
      <c r="C60" s="246"/>
      <c r="D60" s="246"/>
      <c r="E60" s="170" t="s">
        <v>46</v>
      </c>
      <c r="F60" s="532">
        <v>316040.27</v>
      </c>
      <c r="G60" s="683" t="s">
        <v>30</v>
      </c>
    </row>
    <row r="61" spans="1:7" ht="21" customHeight="1">
      <c r="A61" s="245">
        <v>5</v>
      </c>
      <c r="B61" s="240" t="s">
        <v>724</v>
      </c>
      <c r="C61" s="246"/>
      <c r="D61" s="246"/>
      <c r="E61" s="170" t="s">
        <v>46</v>
      </c>
      <c r="F61" s="537">
        <v>168881.81</v>
      </c>
      <c r="G61" s="683" t="s">
        <v>30</v>
      </c>
    </row>
    <row r="62" spans="1:7" ht="21" customHeight="1">
      <c r="A62" s="245">
        <v>6</v>
      </c>
      <c r="B62" s="529" t="s">
        <v>725</v>
      </c>
      <c r="C62" s="246"/>
      <c r="D62" s="246"/>
      <c r="E62" s="170" t="s">
        <v>46</v>
      </c>
      <c r="F62" s="537">
        <v>5789.86</v>
      </c>
      <c r="G62" s="683" t="s">
        <v>30</v>
      </c>
    </row>
    <row r="63" spans="1:7" ht="21" customHeight="1">
      <c r="A63" s="245">
        <v>7</v>
      </c>
      <c r="B63" s="805" t="s">
        <v>703</v>
      </c>
      <c r="C63" s="805"/>
      <c r="D63" s="805"/>
      <c r="E63" s="170" t="s">
        <v>46</v>
      </c>
      <c r="F63" s="537">
        <v>1327983.1</v>
      </c>
      <c r="G63" s="683" t="s">
        <v>30</v>
      </c>
    </row>
    <row r="64" spans="1:7" ht="21" customHeight="1">
      <c r="A64" s="245"/>
      <c r="B64" s="246" t="s">
        <v>726</v>
      </c>
      <c r="C64" s="246"/>
      <c r="D64" s="246"/>
      <c r="E64" s="170" t="s">
        <v>46</v>
      </c>
      <c r="F64" s="537">
        <v>0</v>
      </c>
      <c r="G64" s="683" t="s">
        <v>30</v>
      </c>
    </row>
    <row r="65" spans="1:7" ht="21" customHeight="1">
      <c r="A65" s="245">
        <v>8</v>
      </c>
      <c r="B65" s="539" t="s">
        <v>560</v>
      </c>
      <c r="C65" s="539"/>
      <c r="D65" s="546"/>
      <c r="E65" s="170" t="s">
        <v>46</v>
      </c>
      <c r="F65" s="537">
        <v>23889.75</v>
      </c>
      <c r="G65" s="683" t="s">
        <v>30</v>
      </c>
    </row>
    <row r="66" spans="1:7" ht="21" customHeight="1">
      <c r="A66" s="245">
        <v>9</v>
      </c>
      <c r="B66" s="159" t="s">
        <v>399</v>
      </c>
      <c r="C66" s="732"/>
      <c r="D66" s="732"/>
      <c r="E66" s="170" t="s">
        <v>46</v>
      </c>
      <c r="F66" s="537">
        <v>7042.26</v>
      </c>
      <c r="G66" s="683" t="s">
        <v>30</v>
      </c>
    </row>
    <row r="67" spans="1:7" ht="21" customHeight="1">
      <c r="A67" s="245">
        <v>10</v>
      </c>
      <c r="B67" s="721" t="s">
        <v>727</v>
      </c>
      <c r="C67" s="246"/>
      <c r="D67" s="246"/>
      <c r="E67" s="170" t="s">
        <v>46</v>
      </c>
      <c r="F67" s="537">
        <v>38.8</v>
      </c>
      <c r="G67" s="683" t="s">
        <v>30</v>
      </c>
    </row>
    <row r="68" spans="1:7" ht="21" customHeight="1">
      <c r="A68" s="245">
        <v>11</v>
      </c>
      <c r="B68" s="1" t="s">
        <v>728</v>
      </c>
      <c r="E68" s="170" t="s">
        <v>46</v>
      </c>
      <c r="F68" s="2">
        <v>12323.86</v>
      </c>
      <c r="G68" s="683" t="s">
        <v>30</v>
      </c>
    </row>
    <row r="69" spans="1:7" ht="21" customHeight="1">
      <c r="A69" s="245"/>
      <c r="D69" s="732"/>
      <c r="E69" s="170"/>
      <c r="F69" s="537"/>
      <c r="G69" s="683"/>
    </row>
    <row r="70" spans="1:7" ht="21" customHeight="1">
      <c r="A70" s="245"/>
      <c r="E70" s="170"/>
      <c r="F70" s="537"/>
      <c r="G70" s="683"/>
    </row>
    <row r="71" spans="1:7" ht="21" customHeight="1">
      <c r="A71" s="245"/>
      <c r="E71" s="170"/>
      <c r="F71" s="537"/>
      <c r="G71" s="683"/>
    </row>
    <row r="72" spans="1:7" ht="21" customHeight="1">
      <c r="A72" s="245"/>
      <c r="C72" s="246"/>
      <c r="D72" s="246"/>
      <c r="E72" s="170"/>
      <c r="F72" s="537"/>
      <c r="G72" s="683"/>
    </row>
    <row r="73" ht="21" customHeight="1">
      <c r="A73" s="245"/>
    </row>
    <row r="74" spans="1:7" ht="21" customHeight="1">
      <c r="A74" s="245"/>
      <c r="B74" s="159"/>
      <c r="C74" s="159"/>
      <c r="D74" s="159"/>
      <c r="E74" s="170"/>
      <c r="F74" s="537"/>
      <c r="G74" s="683"/>
    </row>
    <row r="75" spans="1:7" ht="21" customHeight="1">
      <c r="A75" s="245"/>
      <c r="B75" s="246"/>
      <c r="C75" s="246"/>
      <c r="D75" s="246"/>
      <c r="E75" s="170"/>
      <c r="F75" s="537"/>
      <c r="G75" s="683"/>
    </row>
    <row r="76" spans="1:7" ht="21" customHeight="1">
      <c r="A76" s="245"/>
      <c r="B76" s="721"/>
      <c r="D76" s="1"/>
      <c r="E76" s="170"/>
      <c r="G76" s="683"/>
    </row>
    <row r="77" spans="1:7" ht="21" customHeight="1">
      <c r="A77" s="245"/>
      <c r="B77" s="540"/>
      <c r="C77" s="540"/>
      <c r="D77" s="540"/>
      <c r="E77" s="170"/>
      <c r="F77" s="537"/>
      <c r="G77" s="683"/>
    </row>
    <row r="78" spans="1:7" ht="21" customHeight="1">
      <c r="A78" s="245"/>
      <c r="B78" s="540"/>
      <c r="C78" s="540"/>
      <c r="D78" s="540"/>
      <c r="E78" s="170"/>
      <c r="F78" s="537"/>
      <c r="G78" s="683"/>
    </row>
    <row r="79" spans="1:7" ht="21" customHeight="1">
      <c r="A79" s="245"/>
      <c r="B79" s="246"/>
      <c r="C79" s="255" t="s">
        <v>70</v>
      </c>
      <c r="D79" s="219"/>
      <c r="E79" s="680">
        <f>SUM(F57:F78)</f>
        <v>2258106.4199999995</v>
      </c>
      <c r="F79" s="171"/>
      <c r="G79" s="684"/>
    </row>
    <row r="80" spans="1:7" ht="21" customHeight="1">
      <c r="A80" s="763" t="s">
        <v>34</v>
      </c>
      <c r="B80" s="764"/>
      <c r="C80" s="784" t="s">
        <v>569</v>
      </c>
      <c r="D80" s="785"/>
      <c r="E80" s="786"/>
      <c r="F80" s="787" t="s">
        <v>570</v>
      </c>
      <c r="G80" s="788"/>
    </row>
    <row r="81" spans="1:7" ht="21" customHeight="1">
      <c r="A81" s="676"/>
      <c r="B81" s="678"/>
      <c r="C81" s="422"/>
      <c r="D81" s="256"/>
      <c r="E81" s="647"/>
      <c r="F81" s="682"/>
      <c r="G81" s="683"/>
    </row>
    <row r="82" spans="1:7" ht="21" customHeight="1">
      <c r="A82" s="676"/>
      <c r="B82" s="678"/>
      <c r="C82" s="422"/>
      <c r="D82" s="171"/>
      <c r="E82" s="681"/>
      <c r="F82" s="422"/>
      <c r="G82" s="683"/>
    </row>
    <row r="83" spans="1:7" ht="21" customHeight="1">
      <c r="A83" s="746" t="s">
        <v>571</v>
      </c>
      <c r="B83" s="747"/>
      <c r="C83" s="766" t="s">
        <v>170</v>
      </c>
      <c r="D83" s="793"/>
      <c r="E83" s="767"/>
      <c r="F83" s="766" t="s">
        <v>571</v>
      </c>
      <c r="G83" s="767"/>
    </row>
    <row r="84" spans="1:7" ht="21" customHeight="1">
      <c r="A84" s="748" t="s">
        <v>572</v>
      </c>
      <c r="B84" s="749"/>
      <c r="C84" s="790" t="s">
        <v>628</v>
      </c>
      <c r="D84" s="791"/>
      <c r="E84" s="792"/>
      <c r="F84" s="779" t="s">
        <v>572</v>
      </c>
      <c r="G84" s="780"/>
    </row>
    <row r="86" spans="6:7" ht="21" customHeight="1">
      <c r="F86" s="789" t="s">
        <v>621</v>
      </c>
      <c r="G86" s="789"/>
    </row>
    <row r="87" spans="5:7" ht="21" customHeight="1">
      <c r="E87" s="756" t="s">
        <v>721</v>
      </c>
      <c r="F87" s="756"/>
      <c r="G87" s="756"/>
    </row>
    <row r="88" spans="1:7" ht="21" customHeight="1">
      <c r="A88" s="754" t="s">
        <v>89</v>
      </c>
      <c r="B88" s="754"/>
      <c r="C88" s="754"/>
      <c r="D88" s="754"/>
      <c r="E88" s="754"/>
      <c r="F88" s="754"/>
      <c r="G88" s="754"/>
    </row>
    <row r="89" spans="1:4" ht="21" customHeight="1" thickBot="1">
      <c r="A89" s="174" t="s">
        <v>121</v>
      </c>
      <c r="B89" s="174"/>
      <c r="C89" s="174"/>
      <c r="D89" s="223"/>
    </row>
    <row r="90" spans="1:7" ht="21" customHeight="1" thickBot="1">
      <c r="A90" s="777" t="s">
        <v>52</v>
      </c>
      <c r="B90" s="782"/>
      <c r="C90" s="782"/>
      <c r="D90" s="783"/>
      <c r="E90" s="588" t="s">
        <v>47</v>
      </c>
      <c r="F90" s="225" t="s">
        <v>9</v>
      </c>
      <c r="G90" s="226" t="s">
        <v>10</v>
      </c>
    </row>
    <row r="91" spans="1:7" ht="21" customHeight="1">
      <c r="A91" s="185" t="s">
        <v>1</v>
      </c>
      <c r="B91" s="186"/>
      <c r="C91" s="186"/>
      <c r="D91" s="186"/>
      <c r="E91" s="589" t="s">
        <v>242</v>
      </c>
      <c r="F91" s="227">
        <v>27000</v>
      </c>
      <c r="G91" s="228"/>
    </row>
    <row r="92" spans="1:7" ht="21" customHeight="1">
      <c r="A92" s="185"/>
      <c r="B92" s="186" t="s">
        <v>360</v>
      </c>
      <c r="C92" s="186"/>
      <c r="E92" s="590" t="s">
        <v>247</v>
      </c>
      <c r="F92" s="230"/>
      <c r="G92" s="231">
        <v>27000</v>
      </c>
    </row>
    <row r="93" spans="1:7" ht="21" customHeight="1">
      <c r="A93" s="232"/>
      <c r="B93" s="233"/>
      <c r="C93" s="233"/>
      <c r="D93" s="233"/>
      <c r="E93" s="590"/>
      <c r="F93" s="230"/>
      <c r="G93" s="231"/>
    </row>
    <row r="94" spans="1:7" ht="21" customHeight="1">
      <c r="A94" s="232"/>
      <c r="B94" s="233"/>
      <c r="C94" s="233"/>
      <c r="D94" s="233"/>
      <c r="E94" s="590"/>
      <c r="F94" s="230"/>
      <c r="G94" s="231"/>
    </row>
    <row r="95" spans="1:7" ht="21" customHeight="1">
      <c r="A95" s="232"/>
      <c r="B95" s="233"/>
      <c r="C95" s="233"/>
      <c r="D95" s="233"/>
      <c r="E95" s="590"/>
      <c r="F95" s="230"/>
      <c r="G95" s="231"/>
    </row>
    <row r="96" spans="1:7" ht="21" customHeight="1">
      <c r="A96" s="232"/>
      <c r="B96" s="233"/>
      <c r="C96" s="233"/>
      <c r="D96" s="233"/>
      <c r="E96" s="590"/>
      <c r="F96" s="230"/>
      <c r="G96" s="231"/>
    </row>
    <row r="97" spans="1:7" ht="21" customHeight="1">
      <c r="A97" s="232"/>
      <c r="B97" s="233"/>
      <c r="C97" s="233"/>
      <c r="D97" s="233"/>
      <c r="E97" s="590"/>
      <c r="F97" s="234"/>
      <c r="G97" s="231"/>
    </row>
    <row r="98" spans="1:7" ht="21" customHeight="1">
      <c r="A98" s="232"/>
      <c r="B98" s="233"/>
      <c r="C98" s="233"/>
      <c r="D98" s="233"/>
      <c r="E98" s="590"/>
      <c r="F98" s="234"/>
      <c r="G98" s="231"/>
    </row>
    <row r="99" spans="1:7" ht="21" customHeight="1" thickBot="1">
      <c r="A99" s="235"/>
      <c r="B99" s="236"/>
      <c r="C99" s="236"/>
      <c r="D99" s="237"/>
      <c r="E99" s="591"/>
      <c r="F99" s="238">
        <f>SUM(F91:F92)</f>
        <v>27000</v>
      </c>
      <c r="G99" s="239">
        <f>SUM(G92:G92)</f>
        <v>27000</v>
      </c>
    </row>
    <row r="100" spans="1:7" ht="21" customHeight="1" thickTop="1">
      <c r="A100" s="217" t="s">
        <v>90</v>
      </c>
      <c r="B100" s="240" t="s">
        <v>729</v>
      </c>
      <c r="C100" s="241"/>
      <c r="D100" s="242"/>
      <c r="E100" s="532"/>
      <c r="F100" s="552"/>
      <c r="G100" s="686"/>
    </row>
    <row r="101" spans="1:7" ht="21" customHeight="1">
      <c r="A101" s="158">
        <v>1</v>
      </c>
      <c r="B101" s="240" t="s">
        <v>730</v>
      </c>
      <c r="C101" s="241"/>
      <c r="D101" s="242"/>
      <c r="E101" s="532"/>
      <c r="F101" s="171">
        <v>3900</v>
      </c>
      <c r="G101" s="683" t="s">
        <v>30</v>
      </c>
    </row>
    <row r="102" spans="1:7" ht="21" customHeight="1">
      <c r="A102" s="245">
        <v>2</v>
      </c>
      <c r="B102" s="240" t="s">
        <v>731</v>
      </c>
      <c r="C102" s="241"/>
      <c r="D102" s="242"/>
      <c r="E102" s="532"/>
      <c r="F102" s="532">
        <v>3900</v>
      </c>
      <c r="G102" s="683" t="s">
        <v>30</v>
      </c>
    </row>
    <row r="103" spans="1:7" ht="21" customHeight="1">
      <c r="A103" s="245">
        <v>3</v>
      </c>
      <c r="B103" s="240" t="s">
        <v>732</v>
      </c>
      <c r="C103" s="241"/>
      <c r="D103" s="242"/>
      <c r="E103" s="170"/>
      <c r="F103" s="532">
        <v>3900</v>
      </c>
      <c r="G103" s="683" t="s">
        <v>30</v>
      </c>
    </row>
    <row r="104" spans="1:7" ht="21" customHeight="1">
      <c r="A104" s="245">
        <v>4</v>
      </c>
      <c r="B104" s="240" t="s">
        <v>733</v>
      </c>
      <c r="C104" s="241"/>
      <c r="D104" s="242"/>
      <c r="E104" s="170"/>
      <c r="F104" s="532">
        <v>3900</v>
      </c>
      <c r="G104" s="683" t="s">
        <v>30</v>
      </c>
    </row>
    <row r="105" spans="1:7" ht="21" customHeight="1">
      <c r="A105" s="245">
        <v>5</v>
      </c>
      <c r="B105" s="240" t="s">
        <v>734</v>
      </c>
      <c r="C105" s="241"/>
      <c r="D105" s="242"/>
      <c r="E105" s="170"/>
      <c r="F105" s="532">
        <v>3600</v>
      </c>
      <c r="G105" s="683" t="s">
        <v>30</v>
      </c>
    </row>
    <row r="106" spans="1:7" ht="21" customHeight="1">
      <c r="A106" s="245">
        <v>6</v>
      </c>
      <c r="B106" s="240" t="s">
        <v>735</v>
      </c>
      <c r="C106" s="241"/>
      <c r="D106" s="242"/>
      <c r="E106" s="170"/>
      <c r="F106" s="537">
        <v>3900</v>
      </c>
      <c r="G106" s="683" t="s">
        <v>30</v>
      </c>
    </row>
    <row r="107" spans="1:7" ht="21" customHeight="1">
      <c r="A107" s="245">
        <v>7</v>
      </c>
      <c r="B107" s="240" t="s">
        <v>736</v>
      </c>
      <c r="C107" s="241"/>
      <c r="D107" s="242"/>
      <c r="E107" s="170"/>
      <c r="F107" s="537">
        <v>3900</v>
      </c>
      <c r="G107" s="683" t="s">
        <v>30</v>
      </c>
    </row>
    <row r="108" spans="1:7" ht="21" customHeight="1" thickBot="1">
      <c r="A108" s="251"/>
      <c r="B108" s="648"/>
      <c r="C108" s="255" t="s">
        <v>70</v>
      </c>
      <c r="D108" s="219"/>
      <c r="E108" s="680">
        <f>SUM(F101:F107)</f>
        <v>27000</v>
      </c>
      <c r="F108" s="171"/>
      <c r="G108" s="683"/>
    </row>
    <row r="109" spans="1:7" ht="21" customHeight="1">
      <c r="A109" s="763" t="s">
        <v>34</v>
      </c>
      <c r="B109" s="764"/>
      <c r="C109" s="784" t="s">
        <v>569</v>
      </c>
      <c r="D109" s="785"/>
      <c r="E109" s="786"/>
      <c r="F109" s="787" t="s">
        <v>570</v>
      </c>
      <c r="G109" s="788"/>
    </row>
    <row r="110" spans="1:7" ht="21" customHeight="1">
      <c r="A110" s="676"/>
      <c r="B110" s="678"/>
      <c r="C110" s="422"/>
      <c r="D110" s="256"/>
      <c r="E110" s="647"/>
      <c r="F110" s="682"/>
      <c r="G110" s="683"/>
    </row>
    <row r="111" spans="1:7" ht="21" customHeight="1">
      <c r="A111" s="676"/>
      <c r="B111" s="678"/>
      <c r="C111" s="422"/>
      <c r="D111" s="171"/>
      <c r="E111" s="681"/>
      <c r="F111" s="422"/>
      <c r="G111" s="683"/>
    </row>
    <row r="112" spans="1:7" ht="21" customHeight="1">
      <c r="A112" s="746" t="s">
        <v>571</v>
      </c>
      <c r="B112" s="747"/>
      <c r="C112" s="766" t="s">
        <v>170</v>
      </c>
      <c r="D112" s="793"/>
      <c r="E112" s="767"/>
      <c r="F112" s="766" t="s">
        <v>571</v>
      </c>
      <c r="G112" s="767"/>
    </row>
    <row r="113" spans="1:7" ht="21" customHeight="1">
      <c r="A113" s="748" t="s">
        <v>572</v>
      </c>
      <c r="B113" s="749"/>
      <c r="C113" s="790" t="s">
        <v>628</v>
      </c>
      <c r="D113" s="791"/>
      <c r="E113" s="792"/>
      <c r="F113" s="779" t="s">
        <v>572</v>
      </c>
      <c r="G113" s="780"/>
    </row>
    <row r="128" spans="1:7" ht="21" customHeight="1">
      <c r="A128" s="254"/>
      <c r="B128" s="254"/>
      <c r="C128" s="240"/>
      <c r="D128" s="172"/>
      <c r="E128" s="172"/>
      <c r="F128" s="172"/>
      <c r="G128" s="172"/>
    </row>
    <row r="130" spans="6:7" ht="21" customHeight="1">
      <c r="F130" s="789" t="s">
        <v>648</v>
      </c>
      <c r="G130" s="789"/>
    </row>
    <row r="131" spans="5:7" ht="21" customHeight="1">
      <c r="E131" s="756" t="s">
        <v>669</v>
      </c>
      <c r="F131" s="756"/>
      <c r="G131" s="756"/>
    </row>
    <row r="132" spans="1:7" ht="21" customHeight="1">
      <c r="A132" s="754" t="s">
        <v>89</v>
      </c>
      <c r="B132" s="754"/>
      <c r="C132" s="754"/>
      <c r="D132" s="754"/>
      <c r="E132" s="754"/>
      <c r="F132" s="754"/>
      <c r="G132" s="754"/>
    </row>
    <row r="133" spans="1:4" ht="21" customHeight="1" thickBot="1">
      <c r="A133" s="174" t="s">
        <v>121</v>
      </c>
      <c r="B133" s="174"/>
      <c r="C133" s="174"/>
      <c r="D133" s="223"/>
    </row>
    <row r="134" spans="1:7" ht="21" customHeight="1" thickBot="1">
      <c r="A134" s="777" t="s">
        <v>52</v>
      </c>
      <c r="B134" s="782"/>
      <c r="C134" s="782"/>
      <c r="D134" s="783"/>
      <c r="E134" s="588" t="s">
        <v>47</v>
      </c>
      <c r="F134" s="225" t="s">
        <v>9</v>
      </c>
      <c r="G134" s="226" t="s">
        <v>10</v>
      </c>
    </row>
    <row r="135" spans="1:7" ht="21" customHeight="1">
      <c r="A135" s="186" t="s">
        <v>670</v>
      </c>
      <c r="B135" s="186"/>
      <c r="C135" s="186"/>
      <c r="D135" s="186"/>
      <c r="E135" s="589"/>
      <c r="F135" s="227">
        <v>0</v>
      </c>
      <c r="G135" s="228"/>
    </row>
    <row r="136" spans="1:7" ht="21" customHeight="1">
      <c r="A136" s="185"/>
      <c r="B136" s="186" t="s">
        <v>671</v>
      </c>
      <c r="C136" s="186"/>
      <c r="E136" s="590"/>
      <c r="F136" s="230"/>
      <c r="G136" s="231">
        <f>SUM(F135:F135)</f>
        <v>0</v>
      </c>
    </row>
    <row r="137" spans="1:7" ht="21" customHeight="1">
      <c r="A137" s="232"/>
      <c r="C137" s="233"/>
      <c r="D137" s="233"/>
      <c r="E137" s="590"/>
      <c r="F137" s="230"/>
      <c r="G137" s="231"/>
    </row>
    <row r="138" spans="1:7" ht="21" customHeight="1">
      <c r="A138" s="232"/>
      <c r="B138" s="233"/>
      <c r="C138" s="233"/>
      <c r="D138" s="233"/>
      <c r="E138" s="590"/>
      <c r="F138" s="230"/>
      <c r="G138" s="231"/>
    </row>
    <row r="139" spans="1:7" ht="21" customHeight="1">
      <c r="A139" s="232"/>
      <c r="B139" s="233"/>
      <c r="C139" s="233"/>
      <c r="D139" s="233"/>
      <c r="E139" s="590"/>
      <c r="F139" s="230"/>
      <c r="G139" s="231"/>
    </row>
    <row r="140" spans="1:7" ht="21" customHeight="1">
      <c r="A140" s="232"/>
      <c r="B140" s="233"/>
      <c r="C140" s="233"/>
      <c r="D140" s="233"/>
      <c r="E140" s="590"/>
      <c r="F140" s="230"/>
      <c r="G140" s="231"/>
    </row>
    <row r="141" spans="1:7" ht="21" customHeight="1">
      <c r="A141" s="232"/>
      <c r="B141" s="233"/>
      <c r="C141" s="233"/>
      <c r="D141" s="233"/>
      <c r="E141" s="590"/>
      <c r="F141" s="234"/>
      <c r="G141" s="231"/>
    </row>
    <row r="142" spans="1:7" ht="21" customHeight="1">
      <c r="A142" s="232"/>
      <c r="B142" s="233"/>
      <c r="C142" s="233"/>
      <c r="D142" s="233"/>
      <c r="E142" s="590"/>
      <c r="F142" s="234"/>
      <c r="G142" s="231"/>
    </row>
    <row r="143" spans="1:7" ht="21.75" customHeight="1" thickBot="1">
      <c r="A143" s="235"/>
      <c r="B143" s="236"/>
      <c r="C143" s="236"/>
      <c r="D143" s="237"/>
      <c r="E143" s="591"/>
      <c r="F143" s="238">
        <f>SUM(F135:F136)</f>
        <v>0</v>
      </c>
      <c r="G143" s="239">
        <f>SUM(G136:G136)</f>
        <v>0</v>
      </c>
    </row>
    <row r="144" spans="1:7" ht="19.5" customHeight="1" thickTop="1">
      <c r="A144" s="217" t="s">
        <v>90</v>
      </c>
      <c r="B144" s="240" t="s">
        <v>672</v>
      </c>
      <c r="C144" s="241"/>
      <c r="D144" s="242"/>
      <c r="E144" s="532"/>
      <c r="F144" s="171"/>
      <c r="G144" s="550"/>
    </row>
    <row r="145" spans="1:7" ht="19.5" customHeight="1">
      <c r="A145" s="244"/>
      <c r="B145" s="240" t="s">
        <v>673</v>
      </c>
      <c r="C145" s="241"/>
      <c r="D145" s="242"/>
      <c r="E145" s="532"/>
      <c r="F145" s="171"/>
      <c r="G145" s="243"/>
    </row>
    <row r="146" spans="1:7" ht="19.5" customHeight="1">
      <c r="A146" s="245"/>
      <c r="B146" s="540"/>
      <c r="C146" s="540"/>
      <c r="D146" s="170"/>
      <c r="E146" s="532"/>
      <c r="F146" s="171"/>
      <c r="G146" s="243"/>
    </row>
    <row r="147" spans="1:7" ht="19.5" customHeight="1">
      <c r="A147" s="245"/>
      <c r="B147" s="246"/>
      <c r="C147" s="246"/>
      <c r="D147" s="170"/>
      <c r="E147" s="532"/>
      <c r="F147" s="171"/>
      <c r="G147" s="243"/>
    </row>
    <row r="148" spans="1:7" ht="19.5" customHeight="1">
      <c r="A148" s="245"/>
      <c r="B148" s="240"/>
      <c r="C148" s="247"/>
      <c r="D148" s="170"/>
      <c r="E148" s="537"/>
      <c r="F148" s="171"/>
      <c r="G148" s="243"/>
    </row>
    <row r="149" spans="1:7" ht="19.5" customHeight="1">
      <c r="A149" s="245"/>
      <c r="B149" s="240"/>
      <c r="C149" s="249"/>
      <c r="D149" s="170"/>
      <c r="E149" s="532"/>
      <c r="F149" s="171"/>
      <c r="G149" s="243"/>
    </row>
    <row r="150" spans="1:7" ht="19.5" customHeight="1">
      <c r="A150" s="763" t="s">
        <v>34</v>
      </c>
      <c r="B150" s="764"/>
      <c r="C150" s="784" t="s">
        <v>569</v>
      </c>
      <c r="D150" s="785"/>
      <c r="E150" s="786"/>
      <c r="F150" s="787" t="s">
        <v>570</v>
      </c>
      <c r="G150" s="788"/>
    </row>
    <row r="151" spans="1:7" ht="19.5" customHeight="1">
      <c r="A151" s="676"/>
      <c r="B151" s="678"/>
      <c r="C151" s="422"/>
      <c r="D151" s="256"/>
      <c r="E151" s="647"/>
      <c r="F151" s="682"/>
      <c r="G151" s="683"/>
    </row>
    <row r="152" spans="1:7" ht="19.5" customHeight="1">
      <c r="A152" s="676"/>
      <c r="B152" s="678"/>
      <c r="C152" s="422"/>
      <c r="D152" s="171"/>
      <c r="E152" s="681"/>
      <c r="F152" s="422"/>
      <c r="G152" s="683"/>
    </row>
    <row r="153" spans="1:7" ht="19.5" customHeight="1">
      <c r="A153" s="746" t="s">
        <v>571</v>
      </c>
      <c r="B153" s="747"/>
      <c r="C153" s="766" t="s">
        <v>170</v>
      </c>
      <c r="D153" s="793"/>
      <c r="E153" s="767"/>
      <c r="F153" s="766" t="s">
        <v>571</v>
      </c>
      <c r="G153" s="767"/>
    </row>
    <row r="154" spans="1:7" ht="19.5" customHeight="1">
      <c r="A154" s="748" t="s">
        <v>572</v>
      </c>
      <c r="B154" s="749"/>
      <c r="C154" s="790" t="s">
        <v>628</v>
      </c>
      <c r="D154" s="791"/>
      <c r="E154" s="792"/>
      <c r="F154" s="779" t="s">
        <v>572</v>
      </c>
      <c r="G154" s="780"/>
    </row>
    <row r="155" spans="1:7" ht="19.5" customHeight="1">
      <c r="A155" s="722"/>
      <c r="B155" s="723"/>
      <c r="C155" s="723"/>
      <c r="D155" s="724"/>
      <c r="E155" s="725"/>
      <c r="F155" s="726"/>
      <c r="G155" s="726"/>
    </row>
    <row r="156" spans="1:7" ht="19.5" customHeight="1">
      <c r="A156" s="254"/>
      <c r="B156" s="685"/>
      <c r="C156" s="255"/>
      <c r="D156" s="219"/>
      <c r="E156" s="680"/>
      <c r="F156" s="171"/>
      <c r="G156" s="171"/>
    </row>
    <row r="157" spans="1:7" ht="16.5" customHeight="1">
      <c r="A157" s="254"/>
      <c r="B157" s="254"/>
      <c r="C157" s="240"/>
      <c r="D157" s="255"/>
      <c r="E157" s="592"/>
      <c r="F157" s="255"/>
      <c r="G157" s="171"/>
    </row>
    <row r="158" spans="1:7" ht="27" customHeight="1">
      <c r="A158" s="254"/>
      <c r="B158" s="254"/>
      <c r="C158" s="159"/>
      <c r="D158" s="171"/>
      <c r="E158" s="539"/>
      <c r="F158" s="159"/>
      <c r="G158" s="171"/>
    </row>
    <row r="159" spans="1:7" ht="27" customHeight="1">
      <c r="A159" s="254"/>
      <c r="B159" s="254"/>
      <c r="C159" s="159"/>
      <c r="D159" s="171"/>
      <c r="E159" s="750"/>
      <c r="F159" s="750"/>
      <c r="G159" s="171"/>
    </row>
    <row r="160" spans="1:7" ht="23.25" customHeight="1">
      <c r="A160" s="254"/>
      <c r="B160" s="254"/>
      <c r="C160" s="159"/>
      <c r="D160" s="750"/>
      <c r="E160" s="750"/>
      <c r="F160" s="750"/>
      <c r="G160" s="750"/>
    </row>
    <row r="161" spans="1:7" ht="21" customHeight="1">
      <c r="A161" s="254"/>
      <c r="B161" s="254"/>
      <c r="C161" s="159"/>
      <c r="D161" s="171"/>
      <c r="E161" s="533"/>
      <c r="F161" s="171"/>
      <c r="G161" s="171"/>
    </row>
    <row r="162" spans="1:7" ht="16.5" customHeight="1">
      <c r="A162" s="254"/>
      <c r="B162" s="254"/>
      <c r="C162" s="159"/>
      <c r="D162" s="171"/>
      <c r="E162" s="796"/>
      <c r="F162" s="796"/>
      <c r="G162" s="171"/>
    </row>
    <row r="163" spans="1:7" ht="21" customHeight="1">
      <c r="A163" s="254"/>
      <c r="B163" s="254"/>
      <c r="C163" s="159"/>
      <c r="D163" s="256"/>
      <c r="E163" s="533"/>
      <c r="F163" s="255"/>
      <c r="G163" s="171"/>
    </row>
    <row r="164" spans="1:7" ht="24.75" customHeight="1">
      <c r="A164" s="254"/>
      <c r="B164" s="254"/>
      <c r="C164" s="159"/>
      <c r="D164" s="171"/>
      <c r="E164" s="539"/>
      <c r="F164" s="159"/>
      <c r="G164" s="171"/>
    </row>
    <row r="165" spans="1:8" ht="30" customHeight="1">
      <c r="A165" s="254"/>
      <c r="B165" s="254"/>
      <c r="C165" s="257"/>
      <c r="D165" s="171"/>
      <c r="E165" s="796"/>
      <c r="F165" s="796"/>
      <c r="G165" s="796"/>
      <c r="H165" s="796"/>
    </row>
    <row r="166" spans="1:7" ht="30" customHeight="1">
      <c r="A166" s="254"/>
      <c r="B166" s="254"/>
      <c r="C166" s="240"/>
      <c r="D166" s="806"/>
      <c r="E166" s="806"/>
      <c r="F166" s="806"/>
      <c r="G166" s="806"/>
    </row>
    <row r="167" spans="4:8" ht="21.75" customHeight="1">
      <c r="D167" s="1"/>
      <c r="E167" s="1"/>
      <c r="F167" s="1"/>
      <c r="G167" s="1"/>
      <c r="H167" s="1"/>
    </row>
    <row r="168" spans="4:8" ht="21" customHeight="1">
      <c r="D168" s="1"/>
      <c r="E168" s="1"/>
      <c r="F168" s="1"/>
      <c r="G168" s="1"/>
      <c r="H168" s="1"/>
    </row>
    <row r="169" spans="4:8" ht="21" customHeight="1">
      <c r="D169" s="1"/>
      <c r="E169" s="1"/>
      <c r="F169" s="1"/>
      <c r="G169" s="1"/>
      <c r="H169" s="1"/>
    </row>
    <row r="170" spans="4:8" ht="21" customHeight="1">
      <c r="D170" s="1"/>
      <c r="E170" s="1"/>
      <c r="F170" s="1"/>
      <c r="G170" s="1"/>
      <c r="H170" s="1"/>
    </row>
    <row r="171" spans="6:8" ht="21" customHeight="1">
      <c r="F171" s="789" t="s">
        <v>616</v>
      </c>
      <c r="G171" s="789"/>
      <c r="H171" s="1"/>
    </row>
    <row r="172" spans="5:8" ht="21" customHeight="1">
      <c r="E172" s="756" t="s">
        <v>603</v>
      </c>
      <c r="F172" s="756"/>
      <c r="G172" s="756"/>
      <c r="H172" s="1"/>
    </row>
    <row r="173" spans="1:8" ht="21" customHeight="1">
      <c r="A173" s="754" t="s">
        <v>89</v>
      </c>
      <c r="B173" s="754"/>
      <c r="C173" s="754"/>
      <c r="D173" s="754"/>
      <c r="E173" s="754"/>
      <c r="F173" s="754"/>
      <c r="G173" s="754"/>
      <c r="H173" s="1"/>
    </row>
    <row r="174" spans="1:8" ht="21" customHeight="1" thickBot="1">
      <c r="A174" s="174" t="s">
        <v>121</v>
      </c>
      <c r="B174" s="174"/>
      <c r="C174" s="174"/>
      <c r="D174" s="223"/>
      <c r="H174" s="1"/>
    </row>
    <row r="175" spans="1:8" ht="21" customHeight="1" thickBot="1">
      <c r="A175" s="777" t="s">
        <v>52</v>
      </c>
      <c r="B175" s="782"/>
      <c r="C175" s="782"/>
      <c r="D175" s="783"/>
      <c r="E175" s="588" t="s">
        <v>47</v>
      </c>
      <c r="F175" s="225" t="s">
        <v>9</v>
      </c>
      <c r="G175" s="226" t="s">
        <v>10</v>
      </c>
      <c r="H175" s="1"/>
    </row>
    <row r="176" spans="1:8" ht="21" customHeight="1">
      <c r="A176" s="185" t="s">
        <v>613</v>
      </c>
      <c r="B176" s="186"/>
      <c r="C176" s="186"/>
      <c r="D176" s="186"/>
      <c r="E176" s="714" t="s">
        <v>242</v>
      </c>
      <c r="F176" s="715">
        <v>300000</v>
      </c>
      <c r="G176" s="228"/>
      <c r="H176" s="1"/>
    </row>
    <row r="177" spans="1:8" ht="21" customHeight="1">
      <c r="A177" s="185"/>
      <c r="B177" s="186" t="s">
        <v>109</v>
      </c>
      <c r="C177" s="186"/>
      <c r="D177" s="186"/>
      <c r="E177" s="590" t="s">
        <v>242</v>
      </c>
      <c r="F177" s="590"/>
      <c r="G177" s="231">
        <v>300000</v>
      </c>
      <c r="H177" s="1"/>
    </row>
    <row r="178" spans="1:8" ht="21" customHeight="1">
      <c r="A178" s="232"/>
      <c r="B178" s="233"/>
      <c r="C178" s="233"/>
      <c r="D178" s="233"/>
      <c r="E178" s="590"/>
      <c r="F178" s="230"/>
      <c r="G178" s="231"/>
      <c r="H178" s="1"/>
    </row>
    <row r="179" spans="1:8" ht="21" customHeight="1">
      <c r="A179" s="232"/>
      <c r="B179" s="233"/>
      <c r="C179" s="233"/>
      <c r="D179" s="233"/>
      <c r="E179" s="590"/>
      <c r="F179" s="230"/>
      <c r="G179" s="231"/>
      <c r="H179" s="1"/>
    </row>
    <row r="180" spans="1:8" ht="21" customHeight="1">
      <c r="A180" s="232"/>
      <c r="B180" s="233"/>
      <c r="C180" s="233"/>
      <c r="D180" s="233"/>
      <c r="E180" s="590"/>
      <c r="F180" s="230"/>
      <c r="G180" s="231"/>
      <c r="H180" s="1"/>
    </row>
    <row r="181" spans="1:8" ht="21.75" customHeight="1">
      <c r="A181" s="232"/>
      <c r="B181" s="233"/>
      <c r="C181" s="233"/>
      <c r="D181" s="233"/>
      <c r="E181" s="590"/>
      <c r="F181" s="230"/>
      <c r="G181" s="231"/>
      <c r="H181" s="1"/>
    </row>
    <row r="182" spans="1:8" ht="19.5" customHeight="1">
      <c r="A182" s="232"/>
      <c r="B182" s="233"/>
      <c r="C182" s="233"/>
      <c r="D182" s="233"/>
      <c r="E182" s="590"/>
      <c r="F182" s="234"/>
      <c r="G182" s="231"/>
      <c r="H182" s="1"/>
    </row>
    <row r="183" spans="1:8" ht="19.5" customHeight="1">
      <c r="A183" s="232"/>
      <c r="B183" s="233"/>
      <c r="C183" s="233"/>
      <c r="D183" s="233"/>
      <c r="E183" s="590"/>
      <c r="F183" s="234"/>
      <c r="G183" s="231"/>
      <c r="H183" s="1"/>
    </row>
    <row r="184" spans="1:8" ht="19.5" customHeight="1" thickBot="1">
      <c r="A184" s="235"/>
      <c r="B184" s="236"/>
      <c r="C184" s="236"/>
      <c r="D184" s="237"/>
      <c r="E184" s="591"/>
      <c r="F184" s="238">
        <f>SUM(F176:F177)</f>
        <v>300000</v>
      </c>
      <c r="G184" s="239">
        <f>SUM(G177:G177)</f>
        <v>300000</v>
      </c>
      <c r="H184" s="1"/>
    </row>
    <row r="185" spans="1:8" ht="19.5" customHeight="1" thickTop="1">
      <c r="A185" s="217" t="s">
        <v>90</v>
      </c>
      <c r="B185" s="240" t="s">
        <v>614</v>
      </c>
      <c r="C185" s="241"/>
      <c r="D185" s="242"/>
      <c r="E185" s="532"/>
      <c r="F185" s="171"/>
      <c r="G185" s="686"/>
      <c r="H185" s="1"/>
    </row>
    <row r="186" spans="1:8" ht="19.5" customHeight="1">
      <c r="A186" s="244"/>
      <c r="B186" s="240" t="s">
        <v>171</v>
      </c>
      <c r="C186" s="241"/>
      <c r="D186" s="242"/>
      <c r="E186" s="532"/>
      <c r="F186" s="171"/>
      <c r="G186" s="683"/>
      <c r="H186" s="1"/>
    </row>
    <row r="187" spans="1:8" ht="19.5" customHeight="1">
      <c r="A187" s="245"/>
      <c r="B187" s="805" t="s">
        <v>615</v>
      </c>
      <c r="C187" s="805"/>
      <c r="D187" s="805"/>
      <c r="E187" s="170" t="s">
        <v>46</v>
      </c>
      <c r="F187" s="532">
        <v>300000</v>
      </c>
      <c r="G187" s="683" t="s">
        <v>30</v>
      </c>
      <c r="H187" s="1"/>
    </row>
    <row r="188" spans="1:8" ht="19.5" customHeight="1">
      <c r="A188" s="245"/>
      <c r="B188" s="240" t="s">
        <v>677</v>
      </c>
      <c r="C188" s="246"/>
      <c r="D188" s="246"/>
      <c r="E188" s="170"/>
      <c r="F188" s="537"/>
      <c r="G188" s="683"/>
      <c r="H188" s="1"/>
    </row>
    <row r="189" spans="1:8" ht="19.5" customHeight="1">
      <c r="A189" s="245"/>
      <c r="B189" s="529" t="s">
        <v>415</v>
      </c>
      <c r="C189" s="731" t="s">
        <v>679</v>
      </c>
      <c r="D189" s="246"/>
      <c r="E189" s="170"/>
      <c r="F189" s="532"/>
      <c r="G189" s="683"/>
      <c r="H189" s="1"/>
    </row>
    <row r="190" spans="1:8" ht="19.5" customHeight="1">
      <c r="A190" s="245"/>
      <c r="B190" s="529" t="s">
        <v>416</v>
      </c>
      <c r="C190" s="246"/>
      <c r="D190" s="246"/>
      <c r="E190" s="170"/>
      <c r="F190" s="532"/>
      <c r="G190" s="683"/>
      <c r="H190" s="1"/>
    </row>
    <row r="191" spans="1:8" ht="19.5" customHeight="1">
      <c r="A191" s="245"/>
      <c r="B191" s="540" t="s">
        <v>417</v>
      </c>
      <c r="C191" s="246"/>
      <c r="D191" s="246"/>
      <c r="E191" s="170"/>
      <c r="F191" s="537"/>
      <c r="G191" s="683"/>
      <c r="H191" s="1"/>
    </row>
    <row r="192" spans="1:8" ht="19.5" customHeight="1">
      <c r="A192" s="245"/>
      <c r="B192" s="539" t="s">
        <v>678</v>
      </c>
      <c r="C192" s="246"/>
      <c r="D192" s="246"/>
      <c r="E192" s="170"/>
      <c r="F192" s="537"/>
      <c r="G192" s="683"/>
      <c r="H192" s="1"/>
    </row>
    <row r="193" spans="1:8" ht="19.5" customHeight="1">
      <c r="A193" s="245"/>
      <c r="B193" s="529" t="s">
        <v>415</v>
      </c>
      <c r="C193" s="246" t="s">
        <v>680</v>
      </c>
      <c r="D193" s="246"/>
      <c r="E193" s="170"/>
      <c r="F193" s="537"/>
      <c r="G193" s="683"/>
      <c r="H193" s="1"/>
    </row>
    <row r="194" spans="1:8" ht="19.5" customHeight="1">
      <c r="A194" s="245"/>
      <c r="B194" s="529" t="s">
        <v>416</v>
      </c>
      <c r="C194" s="246"/>
      <c r="D194" s="246"/>
      <c r="E194" s="170"/>
      <c r="F194" s="537"/>
      <c r="G194" s="683"/>
      <c r="H194" s="1"/>
    </row>
    <row r="195" spans="1:8" ht="19.5" customHeight="1">
      <c r="A195" s="245"/>
      <c r="B195" s="540" t="s">
        <v>417</v>
      </c>
      <c r="C195" s="246"/>
      <c r="D195" s="246"/>
      <c r="E195" s="170"/>
      <c r="F195" s="537"/>
      <c r="G195" s="683"/>
      <c r="H195" s="1"/>
    </row>
    <row r="196" spans="1:8" ht="19.5" customHeight="1">
      <c r="A196" s="245"/>
      <c r="B196" s="240" t="s">
        <v>681</v>
      </c>
      <c r="C196" s="246"/>
      <c r="D196" s="246"/>
      <c r="E196" s="170"/>
      <c r="F196" s="537"/>
      <c r="G196" s="683"/>
      <c r="H196" s="1"/>
    </row>
    <row r="197" spans="1:8" ht="16.5" customHeight="1">
      <c r="A197" s="245"/>
      <c r="B197" s="240" t="s">
        <v>682</v>
      </c>
      <c r="C197" s="246"/>
      <c r="D197" s="246"/>
      <c r="E197" s="170"/>
      <c r="F197" s="537"/>
      <c r="G197" s="683"/>
      <c r="H197" s="1"/>
    </row>
    <row r="198" spans="1:8" ht="27" customHeight="1">
      <c r="A198" s="245"/>
      <c r="B198" s="159" t="s">
        <v>418</v>
      </c>
      <c r="C198" s="246"/>
      <c r="D198" s="246"/>
      <c r="E198" s="170"/>
      <c r="F198" s="537"/>
      <c r="G198" s="683"/>
      <c r="H198" s="1"/>
    </row>
    <row r="199" spans="1:8" ht="27" customHeight="1">
      <c r="A199" s="245"/>
      <c r="B199" s="539" t="s">
        <v>683</v>
      </c>
      <c r="C199" s="246"/>
      <c r="D199" s="246"/>
      <c r="E199" s="170"/>
      <c r="F199" s="537"/>
      <c r="G199" s="683"/>
      <c r="H199" s="1"/>
    </row>
    <row r="200" spans="1:8" ht="23.25" customHeight="1">
      <c r="A200" s="245"/>
      <c r="B200" s="732" t="s">
        <v>684</v>
      </c>
      <c r="C200" s="732"/>
      <c r="D200" s="732"/>
      <c r="E200" s="170"/>
      <c r="F200" s="537"/>
      <c r="G200" s="683"/>
      <c r="H200" s="1"/>
    </row>
    <row r="201" spans="1:8" ht="21" customHeight="1">
      <c r="A201" s="245"/>
      <c r="B201" s="529" t="s">
        <v>415</v>
      </c>
      <c r="C201" s="246" t="s">
        <v>685</v>
      </c>
      <c r="D201" s="246"/>
      <c r="E201" s="170"/>
      <c r="F201" s="537"/>
      <c r="G201" s="683"/>
      <c r="H201" s="1"/>
    </row>
    <row r="202" spans="1:8" ht="16.5" customHeight="1">
      <c r="A202" s="245"/>
      <c r="B202" s="529" t="s">
        <v>416</v>
      </c>
      <c r="C202" s="246"/>
      <c r="D202" s="246"/>
      <c r="E202" s="170"/>
      <c r="F202" s="537"/>
      <c r="G202" s="683"/>
      <c r="H202" s="1"/>
    </row>
    <row r="203" spans="1:8" ht="21" customHeight="1">
      <c r="A203" s="245"/>
      <c r="B203" s="540" t="s">
        <v>417</v>
      </c>
      <c r="C203" s="246"/>
      <c r="D203" s="246"/>
      <c r="E203" s="170"/>
      <c r="F203" s="537"/>
      <c r="G203" s="683"/>
      <c r="H203" s="1"/>
    </row>
    <row r="204" spans="1:8" ht="21" customHeight="1">
      <c r="A204" s="245"/>
      <c r="B204" s="732" t="s">
        <v>686</v>
      </c>
      <c r="C204" s="732"/>
      <c r="D204" s="732"/>
      <c r="E204" s="170"/>
      <c r="F204" s="537"/>
      <c r="G204" s="171"/>
      <c r="H204" s="1"/>
    </row>
    <row r="205" spans="1:8" ht="21" customHeight="1">
      <c r="A205" s="245"/>
      <c r="B205" s="159" t="s">
        <v>651</v>
      </c>
      <c r="C205" s="159"/>
      <c r="D205" s="159"/>
      <c r="E205" s="170" t="s">
        <v>46</v>
      </c>
      <c r="F205" s="537">
        <v>86270</v>
      </c>
      <c r="G205" s="683" t="s">
        <v>30</v>
      </c>
      <c r="H205" s="1"/>
    </row>
    <row r="206" spans="1:8" ht="21" customHeight="1">
      <c r="A206" s="245"/>
      <c r="B206" s="246" t="s">
        <v>652</v>
      </c>
      <c r="C206" s="246"/>
      <c r="D206" s="246"/>
      <c r="E206" s="170" t="s">
        <v>46</v>
      </c>
      <c r="F206" s="537">
        <v>60385</v>
      </c>
      <c r="G206" s="683" t="s">
        <v>30</v>
      </c>
      <c r="H206" s="1"/>
    </row>
    <row r="207" spans="1:8" ht="21" customHeight="1">
      <c r="A207" s="245"/>
      <c r="B207" s="721" t="s">
        <v>687</v>
      </c>
      <c r="D207" s="1"/>
      <c r="E207" s="170" t="s">
        <v>46</v>
      </c>
      <c r="F207" s="537">
        <v>1144400</v>
      </c>
      <c r="G207" s="683" t="s">
        <v>30</v>
      </c>
      <c r="H207" s="1"/>
    </row>
    <row r="208" spans="1:8" ht="21" customHeight="1">
      <c r="A208" s="245"/>
      <c r="B208" s="540" t="s">
        <v>688</v>
      </c>
      <c r="C208" s="540"/>
      <c r="D208" s="540"/>
      <c r="E208" s="170" t="s">
        <v>46</v>
      </c>
      <c r="F208" s="537">
        <v>213600</v>
      </c>
      <c r="G208" s="683" t="s">
        <v>30</v>
      </c>
      <c r="H208" s="1"/>
    </row>
    <row r="209" spans="1:8" ht="21" customHeight="1">
      <c r="A209" s="245"/>
      <c r="B209" s="540" t="s">
        <v>689</v>
      </c>
      <c r="C209" s="540"/>
      <c r="D209" s="540"/>
      <c r="E209" s="170" t="s">
        <v>46</v>
      </c>
      <c r="F209" s="537">
        <v>1164149.25</v>
      </c>
      <c r="G209" s="683" t="s">
        <v>30</v>
      </c>
      <c r="H209" s="1"/>
    </row>
    <row r="210" spans="1:8" ht="21" customHeight="1">
      <c r="A210" s="245"/>
      <c r="B210" s="721" t="s">
        <v>655</v>
      </c>
      <c r="C210" s="540"/>
      <c r="D210" s="540"/>
      <c r="E210" s="170" t="s">
        <v>46</v>
      </c>
      <c r="F210" s="537">
        <v>52500</v>
      </c>
      <c r="G210" s="683" t="s">
        <v>30</v>
      </c>
      <c r="H210" s="1"/>
    </row>
    <row r="211" spans="1:8" ht="21" customHeight="1">
      <c r="A211" s="245"/>
      <c r="B211" s="246" t="s">
        <v>649</v>
      </c>
      <c r="C211" s="540"/>
      <c r="D211" s="540"/>
      <c r="E211" s="170"/>
      <c r="F211" s="537"/>
      <c r="G211" s="683"/>
      <c r="H211" s="1"/>
    </row>
    <row r="212" spans="1:8" ht="21" customHeight="1">
      <c r="A212" s="245"/>
      <c r="B212" s="246" t="s">
        <v>650</v>
      </c>
      <c r="C212" s="255" t="s">
        <v>70</v>
      </c>
      <c r="D212" s="219"/>
      <c r="E212" s="680" t="e">
        <f>F184+F185+F186+F187+F188+F189+F200+F201+#REF!+F202+F203+F205+F206+F207+F208+F209+F210</f>
        <v>#REF!</v>
      </c>
      <c r="F212" s="171"/>
      <c r="G212" s="684"/>
      <c r="H212" s="1"/>
    </row>
    <row r="213" spans="1:8" ht="21" customHeight="1">
      <c r="A213" s="245"/>
      <c r="B213" s="540"/>
      <c r="C213" s="540"/>
      <c r="D213" s="540"/>
      <c r="E213" s="170"/>
      <c r="F213" s="537"/>
      <c r="G213" s="171"/>
      <c r="H213" s="1"/>
    </row>
    <row r="214" spans="1:8" ht="21" customHeight="1">
      <c r="A214" s="245"/>
      <c r="B214" s="540"/>
      <c r="C214" s="540"/>
      <c r="D214" s="540"/>
      <c r="E214" s="170"/>
      <c r="F214" s="537"/>
      <c r="G214" s="171"/>
      <c r="H214" s="1"/>
    </row>
    <row r="215" spans="1:8" ht="21" customHeight="1">
      <c r="A215" s="245"/>
      <c r="B215" s="540"/>
      <c r="C215" s="540"/>
      <c r="D215" s="540"/>
      <c r="E215" s="170"/>
      <c r="F215" s="537"/>
      <c r="G215" s="171"/>
      <c r="H215" s="1"/>
    </row>
    <row r="216" spans="1:8" ht="21" customHeight="1">
      <c r="A216" s="245"/>
      <c r="B216" s="540"/>
      <c r="C216" s="540"/>
      <c r="D216" s="540"/>
      <c r="E216" s="170"/>
      <c r="F216" s="537"/>
      <c r="G216" s="171"/>
      <c r="H216" s="1"/>
    </row>
    <row r="217" spans="1:8" ht="21" customHeight="1">
      <c r="A217" s="245"/>
      <c r="B217" s="540"/>
      <c r="C217" s="540"/>
      <c r="D217" s="540"/>
      <c r="E217" s="170"/>
      <c r="F217" s="537"/>
      <c r="G217" s="171"/>
      <c r="H217" s="1"/>
    </row>
    <row r="218" spans="1:8" ht="21" customHeight="1">
      <c r="A218" s="245"/>
      <c r="B218" s="540"/>
      <c r="C218" s="540"/>
      <c r="D218" s="540"/>
      <c r="E218" s="170"/>
      <c r="F218" s="537"/>
      <c r="G218" s="171"/>
      <c r="H218" s="1"/>
    </row>
    <row r="219" spans="1:8" ht="21" customHeight="1">
      <c r="A219" s="245"/>
      <c r="B219" s="540"/>
      <c r="C219" s="540"/>
      <c r="D219" s="540"/>
      <c r="E219" s="170"/>
      <c r="F219" s="537"/>
      <c r="G219" s="171"/>
      <c r="H219" s="1"/>
    </row>
    <row r="220" spans="1:8" ht="21" customHeight="1" thickBot="1">
      <c r="A220" s="245"/>
      <c r="B220" s="540"/>
      <c r="C220" s="540"/>
      <c r="D220" s="540"/>
      <c r="E220" s="170"/>
      <c r="F220" s="537"/>
      <c r="G220" s="171"/>
      <c r="H220" s="1"/>
    </row>
    <row r="221" spans="1:7" ht="19.5" customHeight="1" thickTop="1">
      <c r="A221" s="217" t="s">
        <v>90</v>
      </c>
      <c r="B221" s="240" t="s">
        <v>124</v>
      </c>
      <c r="C221" s="241"/>
      <c r="D221" s="242"/>
      <c r="E221" s="532"/>
      <c r="F221" s="171"/>
      <c r="G221" s="550"/>
    </row>
    <row r="222" spans="1:7" ht="19.5" customHeight="1">
      <c r="A222" s="244"/>
      <c r="B222" s="240" t="s">
        <v>171</v>
      </c>
      <c r="C222" s="241"/>
      <c r="D222" s="242"/>
      <c r="E222" s="532"/>
      <c r="F222" s="171"/>
      <c r="G222" s="243"/>
    </row>
    <row r="223" spans="1:7" ht="19.5" customHeight="1">
      <c r="A223" s="245">
        <v>1</v>
      </c>
      <c r="B223" s="540" t="s">
        <v>400</v>
      </c>
      <c r="C223" s="540"/>
      <c r="D223" s="170" t="s">
        <v>46</v>
      </c>
      <c r="E223" s="532">
        <v>1172601.59</v>
      </c>
      <c r="F223" s="171" t="s">
        <v>30</v>
      </c>
      <c r="G223" s="243"/>
    </row>
    <row r="224" spans="1:7" ht="19.5" customHeight="1">
      <c r="A224" s="245"/>
      <c r="B224" s="246" t="s">
        <v>413</v>
      </c>
      <c r="C224" s="246"/>
      <c r="D224" s="170"/>
      <c r="E224" s="532"/>
      <c r="F224" s="171"/>
      <c r="G224" s="243"/>
    </row>
    <row r="225" spans="1:7" ht="19.5" customHeight="1">
      <c r="A225" s="245">
        <v>2</v>
      </c>
      <c r="B225" s="240" t="s">
        <v>414</v>
      </c>
      <c r="C225" s="247"/>
      <c r="D225" s="170" t="s">
        <v>46</v>
      </c>
      <c r="E225" s="537">
        <v>7588</v>
      </c>
      <c r="F225" s="171" t="s">
        <v>30</v>
      </c>
      <c r="G225" s="243"/>
    </row>
    <row r="226" spans="1:7" ht="19.5" customHeight="1">
      <c r="A226" s="245"/>
      <c r="B226" s="240" t="s">
        <v>401</v>
      </c>
      <c r="C226" s="249"/>
      <c r="D226" s="170"/>
      <c r="E226" s="532"/>
      <c r="F226" s="171"/>
      <c r="G226" s="243"/>
    </row>
    <row r="227" spans="1:7" ht="19.5" customHeight="1">
      <c r="A227" s="245">
        <v>3</v>
      </c>
      <c r="B227" s="529" t="s">
        <v>415</v>
      </c>
      <c r="C227" s="247"/>
      <c r="D227" s="170" t="s">
        <v>46</v>
      </c>
      <c r="E227" s="532">
        <v>135425.3</v>
      </c>
      <c r="F227" s="171" t="s">
        <v>30</v>
      </c>
      <c r="G227" s="243"/>
    </row>
    <row r="228" spans="1:7" ht="19.5" customHeight="1">
      <c r="A228" s="245">
        <v>4</v>
      </c>
      <c r="B228" s="529" t="s">
        <v>416</v>
      </c>
      <c r="C228" s="247"/>
      <c r="D228" s="170" t="s">
        <v>46</v>
      </c>
      <c r="E228" s="532">
        <v>48336.34</v>
      </c>
      <c r="F228" s="171" t="s">
        <v>30</v>
      </c>
      <c r="G228" s="243"/>
    </row>
    <row r="229" spans="1:7" ht="19.5" customHeight="1">
      <c r="A229" s="245">
        <v>5</v>
      </c>
      <c r="B229" s="540" t="s">
        <v>417</v>
      </c>
      <c r="C229" s="540"/>
      <c r="D229" s="170" t="s">
        <v>46</v>
      </c>
      <c r="E229" s="537">
        <v>133998.86</v>
      </c>
      <c r="F229" s="171" t="s">
        <v>30</v>
      </c>
      <c r="G229" s="243"/>
    </row>
    <row r="230" spans="1:7" ht="19.5" customHeight="1">
      <c r="A230" s="245">
        <v>6</v>
      </c>
      <c r="B230" s="159" t="s">
        <v>418</v>
      </c>
      <c r="C230" s="159"/>
      <c r="D230" s="170" t="s">
        <v>46</v>
      </c>
      <c r="E230" s="537">
        <v>3280.91</v>
      </c>
      <c r="F230" s="171" t="s">
        <v>30</v>
      </c>
      <c r="G230" s="243"/>
    </row>
    <row r="231" spans="1:7" ht="19.5" customHeight="1">
      <c r="A231" s="245"/>
      <c r="B231" s="254"/>
      <c r="C231" s="240"/>
      <c r="D231" s="247"/>
      <c r="E231" s="533"/>
      <c r="F231" s="248"/>
      <c r="G231" s="243"/>
    </row>
    <row r="232" spans="1:7" ht="19.5" customHeight="1">
      <c r="A232" s="245"/>
      <c r="B232" s="254"/>
      <c r="C232" s="250"/>
      <c r="D232" s="250"/>
      <c r="E232" s="533"/>
      <c r="F232" s="248"/>
      <c r="G232" s="243"/>
    </row>
    <row r="233" spans="1:7" ht="19.5" customHeight="1">
      <c r="A233" s="245"/>
      <c r="B233" s="254"/>
      <c r="C233" s="250"/>
      <c r="D233" s="250"/>
      <c r="E233" s="533"/>
      <c r="F233" s="248"/>
      <c r="G233" s="243"/>
    </row>
    <row r="234" spans="1:7" ht="19.5" customHeight="1">
      <c r="A234" s="245"/>
      <c r="B234" s="254"/>
      <c r="C234" s="250"/>
      <c r="D234" s="250"/>
      <c r="E234" s="533"/>
      <c r="F234" s="248"/>
      <c r="G234" s="243"/>
    </row>
    <row r="235" spans="1:7" ht="19.5" customHeight="1" thickBot="1">
      <c r="A235" s="251"/>
      <c r="B235" s="496"/>
      <c r="C235" s="648"/>
      <c r="D235" s="252" t="s">
        <v>70</v>
      </c>
      <c r="E235" s="593"/>
      <c r="F235" s="252">
        <f>SUM(F223:F234)</f>
        <v>0</v>
      </c>
      <c r="G235" s="253"/>
    </row>
    <row r="236" spans="1:7" ht="16.5" customHeight="1">
      <c r="A236" s="254"/>
      <c r="B236" s="254"/>
      <c r="C236" s="240"/>
      <c r="D236" s="255"/>
      <c r="E236" s="592"/>
      <c r="F236" s="255"/>
      <c r="G236" s="171"/>
    </row>
    <row r="237" spans="1:7" ht="27" customHeight="1">
      <c r="A237" s="254"/>
      <c r="B237" s="254"/>
      <c r="C237" s="159"/>
      <c r="D237" s="171"/>
      <c r="E237" s="539" t="s">
        <v>265</v>
      </c>
      <c r="F237" s="159"/>
      <c r="G237" s="171"/>
    </row>
    <row r="238" spans="1:7" ht="27" customHeight="1">
      <c r="A238" s="254"/>
      <c r="B238" s="254"/>
      <c r="C238" s="159"/>
      <c r="D238" s="171"/>
      <c r="E238" s="750" t="s">
        <v>169</v>
      </c>
      <c r="F238" s="750"/>
      <c r="G238" s="171"/>
    </row>
    <row r="239" spans="1:7" ht="23.25" customHeight="1">
      <c r="A239" s="254"/>
      <c r="B239" s="254"/>
      <c r="C239" s="159"/>
      <c r="D239" s="750" t="s">
        <v>376</v>
      </c>
      <c r="E239" s="750"/>
      <c r="F239" s="750"/>
      <c r="G239" s="750"/>
    </row>
    <row r="240" spans="1:7" ht="21" customHeight="1">
      <c r="A240" s="254"/>
      <c r="B240" s="254"/>
      <c r="C240" s="159"/>
      <c r="D240" s="171"/>
      <c r="E240" s="533"/>
      <c r="F240" s="171"/>
      <c r="G240" s="171"/>
    </row>
    <row r="241" spans="1:7" ht="16.5" customHeight="1">
      <c r="A241" s="254"/>
      <c r="B241" s="254"/>
      <c r="C241" s="159"/>
      <c r="D241" s="171"/>
      <c r="E241" s="796" t="s">
        <v>264</v>
      </c>
      <c r="F241" s="796"/>
      <c r="G241" s="171"/>
    </row>
    <row r="242" spans="1:7" ht="21" customHeight="1">
      <c r="A242" s="254"/>
      <c r="B242" s="254"/>
      <c r="C242" s="159"/>
      <c r="D242" s="256"/>
      <c r="E242" s="533"/>
      <c r="F242" s="255"/>
      <c r="G242" s="171"/>
    </row>
    <row r="243" spans="1:7" ht="24.75" customHeight="1">
      <c r="A243" s="254"/>
      <c r="B243" s="254"/>
      <c r="C243" s="159"/>
      <c r="D243" s="171"/>
      <c r="E243" s="539" t="s">
        <v>266</v>
      </c>
      <c r="F243" s="159"/>
      <c r="G243" s="171"/>
    </row>
    <row r="244" spans="1:8" ht="30" customHeight="1">
      <c r="A244" s="254"/>
      <c r="B244" s="254"/>
      <c r="C244" s="257"/>
      <c r="D244" s="171"/>
      <c r="E244" s="796" t="s">
        <v>402</v>
      </c>
      <c r="F244" s="796"/>
      <c r="G244" s="796"/>
      <c r="H244" s="796"/>
    </row>
    <row r="245" spans="1:7" ht="30" customHeight="1">
      <c r="A245" s="254"/>
      <c r="B245" s="254"/>
      <c r="C245" s="240"/>
      <c r="D245" s="806" t="s">
        <v>403</v>
      </c>
      <c r="E245" s="806"/>
      <c r="F245" s="806"/>
      <c r="G245" s="806"/>
    </row>
    <row r="246" spans="1:7" ht="30" customHeight="1">
      <c r="A246" s="254"/>
      <c r="B246" s="254"/>
      <c r="C246" s="240"/>
      <c r="D246" s="172"/>
      <c r="E246" s="172"/>
      <c r="F246" s="172"/>
      <c r="G246" s="172"/>
    </row>
    <row r="247" spans="1:7" ht="30" customHeight="1">
      <c r="A247" s="254"/>
      <c r="B247" s="254"/>
      <c r="C247" s="240"/>
      <c r="D247" s="172"/>
      <c r="E247" s="172"/>
      <c r="F247" s="172"/>
      <c r="G247" s="172"/>
    </row>
    <row r="248" spans="1:7" ht="30" customHeight="1">
      <c r="A248" s="254"/>
      <c r="B248" s="254"/>
      <c r="C248" s="240"/>
      <c r="D248" s="172"/>
      <c r="E248" s="172"/>
      <c r="F248" s="172"/>
      <c r="G248" s="172"/>
    </row>
    <row r="249" spans="1:7" ht="30" customHeight="1">
      <c r="A249" s="254"/>
      <c r="B249" s="254"/>
      <c r="C249" s="240"/>
      <c r="D249" s="172"/>
      <c r="E249" s="172"/>
      <c r="F249" s="172"/>
      <c r="G249" s="172"/>
    </row>
    <row r="250" spans="1:7" ht="30" customHeight="1">
      <c r="A250" s="254"/>
      <c r="B250" s="254"/>
      <c r="C250" s="240"/>
      <c r="D250" s="172"/>
      <c r="E250" s="172"/>
      <c r="F250" s="172"/>
      <c r="G250" s="172"/>
    </row>
    <row r="251" spans="1:7" ht="30" customHeight="1">
      <c r="A251" s="254"/>
      <c r="B251" s="254"/>
      <c r="C251" s="240"/>
      <c r="D251" s="172"/>
      <c r="E251" s="172"/>
      <c r="F251" s="172"/>
      <c r="G251" s="172"/>
    </row>
    <row r="252" spans="1:7" ht="30" customHeight="1">
      <c r="A252" s="254"/>
      <c r="B252" s="254"/>
      <c r="C252" s="240"/>
      <c r="D252" s="172"/>
      <c r="E252" s="172"/>
      <c r="F252" s="172"/>
      <c r="G252" s="172"/>
    </row>
    <row r="253" spans="1:7" ht="30" customHeight="1">
      <c r="A253" s="254"/>
      <c r="B253" s="254"/>
      <c r="C253" s="240"/>
      <c r="D253" s="172"/>
      <c r="E253" s="172"/>
      <c r="F253" s="172"/>
      <c r="G253" s="172"/>
    </row>
    <row r="254" spans="1:7" ht="30" customHeight="1">
      <c r="A254" s="254"/>
      <c r="B254" s="254"/>
      <c r="C254" s="240"/>
      <c r="D254" s="172"/>
      <c r="E254" s="172"/>
      <c r="F254" s="172"/>
      <c r="G254" s="172"/>
    </row>
    <row r="255" spans="6:7" ht="21" customHeight="1">
      <c r="F255" s="789" t="s">
        <v>427</v>
      </c>
      <c r="G255" s="789"/>
    </row>
    <row r="256" spans="5:7" ht="21" customHeight="1">
      <c r="E256" s="756" t="s">
        <v>419</v>
      </c>
      <c r="F256" s="756"/>
      <c r="G256" s="756"/>
    </row>
    <row r="257" spans="1:7" ht="21" customHeight="1">
      <c r="A257" s="754" t="s">
        <v>89</v>
      </c>
      <c r="B257" s="754"/>
      <c r="C257" s="754"/>
      <c r="D257" s="754"/>
      <c r="E257" s="754"/>
      <c r="F257" s="754"/>
      <c r="G257" s="754"/>
    </row>
    <row r="258" spans="1:4" ht="21" customHeight="1" thickBot="1">
      <c r="A258" s="174" t="s">
        <v>121</v>
      </c>
      <c r="B258" s="174"/>
      <c r="C258" s="174"/>
      <c r="D258" s="223"/>
    </row>
    <row r="259" spans="1:7" ht="21" customHeight="1" thickBot="1">
      <c r="A259" s="777" t="s">
        <v>52</v>
      </c>
      <c r="B259" s="782"/>
      <c r="C259" s="782"/>
      <c r="D259" s="783"/>
      <c r="E259" s="588" t="s">
        <v>47</v>
      </c>
      <c r="F259" s="225" t="s">
        <v>9</v>
      </c>
      <c r="G259" s="226" t="s">
        <v>10</v>
      </c>
    </row>
    <row r="260" spans="1:7" ht="21" customHeight="1">
      <c r="A260" s="185" t="s">
        <v>1</v>
      </c>
      <c r="B260" s="186"/>
      <c r="C260" s="186"/>
      <c r="D260" s="186"/>
      <c r="E260" s="589" t="s">
        <v>193</v>
      </c>
      <c r="F260" s="227">
        <v>72800</v>
      </c>
      <c r="G260" s="228"/>
    </row>
    <row r="261" spans="1:7" ht="21" customHeight="1">
      <c r="A261" s="185"/>
      <c r="B261" s="186"/>
      <c r="C261" s="186" t="s">
        <v>360</v>
      </c>
      <c r="D261" s="186"/>
      <c r="E261" s="590" t="s">
        <v>247</v>
      </c>
      <c r="F261" s="230"/>
      <c r="G261" s="231">
        <f>SUM(F260:F260)</f>
        <v>72800</v>
      </c>
    </row>
    <row r="262" spans="1:7" ht="21" customHeight="1">
      <c r="A262" s="232"/>
      <c r="B262" s="233"/>
      <c r="C262" s="233"/>
      <c r="D262" s="233"/>
      <c r="E262" s="590"/>
      <c r="F262" s="230"/>
      <c r="G262" s="231"/>
    </row>
    <row r="263" spans="1:7" ht="21" customHeight="1">
      <c r="A263" s="232"/>
      <c r="B263" s="233"/>
      <c r="C263" s="233"/>
      <c r="D263" s="233"/>
      <c r="E263" s="590"/>
      <c r="F263" s="230"/>
      <c r="G263" s="231"/>
    </row>
    <row r="264" spans="1:7" ht="21" customHeight="1">
      <c r="A264" s="232"/>
      <c r="B264" s="233"/>
      <c r="C264" s="233"/>
      <c r="D264" s="233"/>
      <c r="E264" s="590"/>
      <c r="F264" s="230"/>
      <c r="G264" s="231"/>
    </row>
    <row r="265" spans="1:7" ht="21" customHeight="1">
      <c r="A265" s="232"/>
      <c r="B265" s="233"/>
      <c r="C265" s="233"/>
      <c r="D265" s="233"/>
      <c r="E265" s="590"/>
      <c r="F265" s="230"/>
      <c r="G265" s="231"/>
    </row>
    <row r="266" spans="1:7" ht="21" customHeight="1">
      <c r="A266" s="232"/>
      <c r="B266" s="233"/>
      <c r="C266" s="233"/>
      <c r="D266" s="233"/>
      <c r="E266" s="590"/>
      <c r="F266" s="234"/>
      <c r="G266" s="231"/>
    </row>
    <row r="267" spans="1:7" ht="21" customHeight="1">
      <c r="A267" s="232"/>
      <c r="B267" s="233"/>
      <c r="C267" s="233"/>
      <c r="D267" s="233"/>
      <c r="E267" s="590"/>
      <c r="F267" s="234"/>
      <c r="G267" s="231"/>
    </row>
    <row r="268" spans="1:7" ht="21.75" customHeight="1" thickBot="1">
      <c r="A268" s="235"/>
      <c r="B268" s="236"/>
      <c r="C268" s="236"/>
      <c r="D268" s="237"/>
      <c r="E268" s="591"/>
      <c r="F268" s="238">
        <f>SUM(F260:F261)</f>
        <v>72800</v>
      </c>
      <c r="G268" s="239">
        <f>SUM(G261:G261)</f>
        <v>72800</v>
      </c>
    </row>
    <row r="269" spans="1:7" ht="19.5" customHeight="1" thickTop="1">
      <c r="A269" s="217" t="s">
        <v>90</v>
      </c>
      <c r="B269" s="240" t="s">
        <v>420</v>
      </c>
      <c r="C269" s="241"/>
      <c r="D269" s="242"/>
      <c r="E269" s="532"/>
      <c r="F269" s="171"/>
      <c r="G269" s="550"/>
    </row>
    <row r="270" spans="1:7" ht="19.5" customHeight="1">
      <c r="A270" s="244"/>
      <c r="B270" s="240"/>
      <c r="C270" s="241"/>
      <c r="D270" s="242"/>
      <c r="E270" s="532"/>
      <c r="F270" s="171"/>
      <c r="G270" s="243"/>
    </row>
    <row r="271" spans="1:7" ht="19.5" customHeight="1">
      <c r="A271" s="245">
        <v>1</v>
      </c>
      <c r="B271" s="540" t="s">
        <v>421</v>
      </c>
      <c r="C271" s="540"/>
      <c r="D271" s="170" t="s">
        <v>46</v>
      </c>
      <c r="E271" s="532">
        <v>72800</v>
      </c>
      <c r="F271" s="171" t="s">
        <v>30</v>
      </c>
      <c r="G271" s="243"/>
    </row>
    <row r="272" spans="1:7" ht="19.5" customHeight="1">
      <c r="A272" s="245"/>
      <c r="B272" s="246" t="s">
        <v>422</v>
      </c>
      <c r="C272" s="246"/>
      <c r="D272" s="170"/>
      <c r="E272" s="532"/>
      <c r="F272" s="171"/>
      <c r="G272" s="243"/>
    </row>
    <row r="273" spans="1:7" ht="19.5" customHeight="1">
      <c r="A273" s="245"/>
      <c r="B273" s="240" t="s">
        <v>423</v>
      </c>
      <c r="C273" s="247"/>
      <c r="D273" s="170"/>
      <c r="E273" s="537"/>
      <c r="F273" s="171"/>
      <c r="G273" s="243"/>
    </row>
    <row r="274" spans="1:7" ht="19.5" customHeight="1">
      <c r="A274" s="245"/>
      <c r="B274" s="540"/>
      <c r="C274" s="540"/>
      <c r="D274" s="170"/>
      <c r="E274" s="532"/>
      <c r="F274" s="171"/>
      <c r="G274" s="243"/>
    </row>
    <row r="275" spans="1:7" ht="19.5" customHeight="1">
      <c r="A275" s="245"/>
      <c r="B275" s="254"/>
      <c r="C275" s="796"/>
      <c r="D275" s="796"/>
      <c r="E275" s="533"/>
      <c r="F275" s="171"/>
      <c r="G275" s="243"/>
    </row>
    <row r="276" spans="1:7" ht="19.5" customHeight="1">
      <c r="A276" s="245"/>
      <c r="B276" s="254"/>
      <c r="C276" s="240"/>
      <c r="D276" s="247"/>
      <c r="E276" s="533"/>
      <c r="F276" s="248"/>
      <c r="G276" s="243"/>
    </row>
    <row r="277" spans="1:7" ht="19.5" customHeight="1">
      <c r="A277" s="245"/>
      <c r="B277" s="254"/>
      <c r="C277" s="250"/>
      <c r="D277" s="250"/>
      <c r="E277" s="533"/>
      <c r="F277" s="248"/>
      <c r="G277" s="243"/>
    </row>
    <row r="278" spans="1:7" ht="19.5" customHeight="1">
      <c r="A278" s="245"/>
      <c r="B278" s="254"/>
      <c r="C278" s="250"/>
      <c r="D278" s="250"/>
      <c r="E278" s="533"/>
      <c r="F278" s="248"/>
      <c r="G278" s="243"/>
    </row>
    <row r="279" spans="1:7" ht="19.5" customHeight="1">
      <c r="A279" s="245"/>
      <c r="B279" s="254"/>
      <c r="C279" s="250"/>
      <c r="D279" s="250"/>
      <c r="E279" s="533"/>
      <c r="F279" s="248"/>
      <c r="G279" s="243"/>
    </row>
    <row r="280" spans="1:7" ht="19.5" customHeight="1">
      <c r="A280" s="245"/>
      <c r="B280" s="254"/>
      <c r="C280" s="250"/>
      <c r="D280" s="250"/>
      <c r="E280" s="533"/>
      <c r="F280" s="248"/>
      <c r="G280" s="243"/>
    </row>
    <row r="281" spans="1:7" ht="19.5" customHeight="1">
      <c r="A281" s="245"/>
      <c r="B281" s="254"/>
      <c r="C281" s="250"/>
      <c r="D281" s="250"/>
      <c r="E281" s="533"/>
      <c r="F281" s="248"/>
      <c r="G281" s="243"/>
    </row>
    <row r="282" spans="1:7" ht="19.5" customHeight="1">
      <c r="A282" s="245"/>
      <c r="B282" s="254"/>
      <c r="C282" s="250"/>
      <c r="D282" s="250"/>
      <c r="E282" s="533"/>
      <c r="F282" s="248"/>
      <c r="G282" s="243"/>
    </row>
    <row r="283" spans="1:7" ht="19.5" customHeight="1" thickBot="1">
      <c r="A283" s="251"/>
      <c r="B283" s="496"/>
      <c r="C283" s="648"/>
      <c r="D283" s="252"/>
      <c r="E283" s="593"/>
      <c r="F283" s="252"/>
      <c r="G283" s="253"/>
    </row>
    <row r="284" spans="1:7" ht="16.5" customHeight="1">
      <c r="A284" s="254"/>
      <c r="B284" s="254"/>
      <c r="C284" s="240"/>
      <c r="D284" s="255"/>
      <c r="E284" s="592"/>
      <c r="F284" s="255"/>
      <c r="G284" s="171"/>
    </row>
    <row r="285" spans="1:7" ht="27" customHeight="1">
      <c r="A285" s="254"/>
      <c r="B285" s="254"/>
      <c r="C285" s="159"/>
      <c r="D285" s="171"/>
      <c r="E285" s="539" t="s">
        <v>265</v>
      </c>
      <c r="F285" s="159"/>
      <c r="G285" s="171"/>
    </row>
    <row r="286" spans="1:7" ht="27" customHeight="1">
      <c r="A286" s="254"/>
      <c r="B286" s="254"/>
      <c r="C286" s="159"/>
      <c r="D286" s="171"/>
      <c r="E286" s="750" t="s">
        <v>169</v>
      </c>
      <c r="F286" s="750"/>
      <c r="G286" s="171"/>
    </row>
    <row r="287" spans="1:7" ht="23.25" customHeight="1">
      <c r="A287" s="254"/>
      <c r="B287" s="254"/>
      <c r="C287" s="159"/>
      <c r="D287" s="750" t="s">
        <v>376</v>
      </c>
      <c r="E287" s="750"/>
      <c r="F287" s="750"/>
      <c r="G287" s="750"/>
    </row>
    <row r="288" spans="1:7" ht="21" customHeight="1">
      <c r="A288" s="254"/>
      <c r="B288" s="254"/>
      <c r="C288" s="159"/>
      <c r="D288" s="171"/>
      <c r="E288" s="533"/>
      <c r="F288" s="171"/>
      <c r="G288" s="171"/>
    </row>
    <row r="289" spans="1:7" ht="16.5" customHeight="1">
      <c r="A289" s="254"/>
      <c r="B289" s="254"/>
      <c r="C289" s="159"/>
      <c r="D289" s="171"/>
      <c r="E289" s="796" t="s">
        <v>264</v>
      </c>
      <c r="F289" s="796"/>
      <c r="G289" s="171"/>
    </row>
    <row r="290" spans="1:7" ht="21" customHeight="1">
      <c r="A290" s="254"/>
      <c r="B290" s="254"/>
      <c r="C290" s="159"/>
      <c r="D290" s="256"/>
      <c r="E290" s="533"/>
      <c r="F290" s="255"/>
      <c r="G290" s="171"/>
    </row>
    <row r="291" spans="1:7" ht="24.75" customHeight="1">
      <c r="A291" s="254"/>
      <c r="B291" s="254"/>
      <c r="C291" s="159"/>
      <c r="D291" s="171"/>
      <c r="E291" s="539" t="s">
        <v>266</v>
      </c>
      <c r="F291" s="159"/>
      <c r="G291" s="171"/>
    </row>
    <row r="292" spans="1:8" ht="30" customHeight="1">
      <c r="A292" s="254"/>
      <c r="B292" s="254"/>
      <c r="C292" s="257"/>
      <c r="D292" s="171"/>
      <c r="E292" s="796" t="s">
        <v>402</v>
      </c>
      <c r="F292" s="796"/>
      <c r="G292" s="796"/>
      <c r="H292" s="796"/>
    </row>
    <row r="293" spans="1:7" ht="30" customHeight="1">
      <c r="A293" s="254"/>
      <c r="B293" s="254"/>
      <c r="C293" s="240"/>
      <c r="D293" s="806" t="s">
        <v>403</v>
      </c>
      <c r="E293" s="806"/>
      <c r="F293" s="806"/>
      <c r="G293" s="806"/>
    </row>
    <row r="294" spans="6:7" ht="21" customHeight="1">
      <c r="F294" s="789" t="s">
        <v>428</v>
      </c>
      <c r="G294" s="789"/>
    </row>
    <row r="295" spans="5:7" ht="21" customHeight="1">
      <c r="E295" s="756" t="s">
        <v>419</v>
      </c>
      <c r="F295" s="756"/>
      <c r="G295" s="756"/>
    </row>
    <row r="296" spans="1:7" ht="21" customHeight="1">
      <c r="A296" s="754" t="s">
        <v>89</v>
      </c>
      <c r="B296" s="754"/>
      <c r="C296" s="754"/>
      <c r="D296" s="754"/>
      <c r="E296" s="754"/>
      <c r="F296" s="754"/>
      <c r="G296" s="754"/>
    </row>
    <row r="297" spans="1:4" ht="21" customHeight="1" thickBot="1">
      <c r="A297" s="174" t="s">
        <v>121</v>
      </c>
      <c r="B297" s="174"/>
      <c r="C297" s="174"/>
      <c r="D297" s="223"/>
    </row>
    <row r="298" spans="1:7" ht="21" customHeight="1" thickBot="1">
      <c r="A298" s="777" t="s">
        <v>52</v>
      </c>
      <c r="B298" s="782"/>
      <c r="C298" s="782"/>
      <c r="D298" s="783"/>
      <c r="E298" s="588" t="s">
        <v>47</v>
      </c>
      <c r="F298" s="225" t="s">
        <v>9</v>
      </c>
      <c r="G298" s="226" t="s">
        <v>10</v>
      </c>
    </row>
    <row r="299" spans="1:7" ht="21" customHeight="1">
      <c r="A299" s="185" t="s">
        <v>1</v>
      </c>
      <c r="B299" s="186"/>
      <c r="C299" s="186"/>
      <c r="D299" s="186"/>
      <c r="E299" s="589" t="s">
        <v>193</v>
      </c>
      <c r="F299" s="227">
        <v>39200</v>
      </c>
      <c r="G299" s="228"/>
    </row>
    <row r="300" spans="1:7" ht="21" customHeight="1">
      <c r="A300" s="185"/>
      <c r="B300" s="186"/>
      <c r="C300" s="186" t="s">
        <v>360</v>
      </c>
      <c r="D300" s="186"/>
      <c r="E300" s="590" t="s">
        <v>247</v>
      </c>
      <c r="F300" s="230"/>
      <c r="G300" s="231">
        <f>SUM(F299:F299)</f>
        <v>39200</v>
      </c>
    </row>
    <row r="301" spans="1:7" ht="21" customHeight="1">
      <c r="A301" s="232"/>
      <c r="B301" s="233"/>
      <c r="C301" s="233"/>
      <c r="D301" s="233"/>
      <c r="E301" s="590"/>
      <c r="F301" s="230"/>
      <c r="G301" s="231"/>
    </row>
    <row r="302" spans="1:7" ht="21" customHeight="1">
      <c r="A302" s="232"/>
      <c r="B302" s="233"/>
      <c r="C302" s="233"/>
      <c r="D302" s="233"/>
      <c r="E302" s="590"/>
      <c r="F302" s="230"/>
      <c r="G302" s="231"/>
    </row>
    <row r="303" spans="1:7" ht="21" customHeight="1">
      <c r="A303" s="232"/>
      <c r="B303" s="233"/>
      <c r="C303" s="233"/>
      <c r="D303" s="233"/>
      <c r="E303" s="590"/>
      <c r="F303" s="230"/>
      <c r="G303" s="231"/>
    </row>
    <row r="304" spans="1:7" ht="21" customHeight="1">
      <c r="A304" s="232"/>
      <c r="B304" s="233"/>
      <c r="C304" s="233"/>
      <c r="D304" s="233"/>
      <c r="E304" s="590"/>
      <c r="F304" s="230"/>
      <c r="G304" s="231"/>
    </row>
    <row r="305" spans="1:7" ht="21" customHeight="1">
      <c r="A305" s="232"/>
      <c r="B305" s="233"/>
      <c r="C305" s="233"/>
      <c r="D305" s="233"/>
      <c r="E305" s="590"/>
      <c r="F305" s="234"/>
      <c r="G305" s="231"/>
    </row>
    <row r="306" spans="1:7" ht="21" customHeight="1">
      <c r="A306" s="232"/>
      <c r="B306" s="233"/>
      <c r="C306" s="233"/>
      <c r="D306" s="233"/>
      <c r="E306" s="590"/>
      <c r="F306" s="234"/>
      <c r="G306" s="231"/>
    </row>
    <row r="307" spans="1:7" ht="21.75" customHeight="1" thickBot="1">
      <c r="A307" s="235"/>
      <c r="B307" s="236"/>
      <c r="C307" s="236"/>
      <c r="D307" s="237"/>
      <c r="E307" s="591"/>
      <c r="F307" s="238">
        <f>SUM(F299:F300)</f>
        <v>39200</v>
      </c>
      <c r="G307" s="239">
        <f>SUM(G300:G300)</f>
        <v>39200</v>
      </c>
    </row>
    <row r="308" spans="1:7" ht="19.5" customHeight="1" thickTop="1">
      <c r="A308" s="217" t="s">
        <v>90</v>
      </c>
      <c r="B308" s="545"/>
      <c r="C308" s="240" t="s">
        <v>420</v>
      </c>
      <c r="D308" s="241"/>
      <c r="E308" s="594"/>
      <c r="F308" s="241"/>
      <c r="G308" s="243"/>
    </row>
    <row r="309" spans="1:7" ht="19.5" customHeight="1">
      <c r="A309" s="244"/>
      <c r="B309" s="546"/>
      <c r="C309" s="240"/>
      <c r="D309" s="241"/>
      <c r="E309" s="594"/>
      <c r="F309" s="241"/>
      <c r="G309" s="243"/>
    </row>
    <row r="310" spans="1:7" ht="19.5" customHeight="1">
      <c r="A310" s="245">
        <v>1</v>
      </c>
      <c r="B310" s="254"/>
      <c r="C310" s="805" t="s">
        <v>424</v>
      </c>
      <c r="D310" s="805"/>
      <c r="E310" s="533" t="s">
        <v>46</v>
      </c>
      <c r="F310" s="171">
        <v>39200</v>
      </c>
      <c r="G310" s="243" t="s">
        <v>30</v>
      </c>
    </row>
    <row r="311" spans="1:7" ht="19.5" customHeight="1">
      <c r="A311" s="245"/>
      <c r="B311" s="254"/>
      <c r="C311" s="796" t="s">
        <v>425</v>
      </c>
      <c r="D311" s="796"/>
      <c r="E311" s="533"/>
      <c r="F311" s="171"/>
      <c r="G311" s="243"/>
    </row>
    <row r="312" spans="1:7" ht="19.5" customHeight="1">
      <c r="A312" s="245"/>
      <c r="B312" s="254"/>
      <c r="C312" s="240" t="s">
        <v>426</v>
      </c>
      <c r="D312" s="247"/>
      <c r="E312" s="533"/>
      <c r="F312" s="248"/>
      <c r="G312" s="243"/>
    </row>
    <row r="313" spans="1:7" ht="19.5" customHeight="1">
      <c r="A313" s="245"/>
      <c r="B313" s="254"/>
      <c r="C313" s="805"/>
      <c r="D313" s="805"/>
      <c r="E313" s="533"/>
      <c r="F313" s="171"/>
      <c r="G313" s="243"/>
    </row>
    <row r="314" spans="1:7" ht="19.5" customHeight="1">
      <c r="A314" s="245"/>
      <c r="B314" s="254"/>
      <c r="C314" s="796"/>
      <c r="D314" s="796"/>
      <c r="E314" s="533"/>
      <c r="F314" s="171"/>
      <c r="G314" s="243"/>
    </row>
    <row r="315" spans="1:7" ht="19.5" customHeight="1">
      <c r="A315" s="245"/>
      <c r="B315" s="254"/>
      <c r="C315" s="240"/>
      <c r="D315" s="247"/>
      <c r="E315" s="533"/>
      <c r="F315" s="248"/>
      <c r="G315" s="243"/>
    </row>
    <row r="316" spans="1:7" ht="19.5" customHeight="1">
      <c r="A316" s="245"/>
      <c r="B316" s="254"/>
      <c r="C316" s="250"/>
      <c r="D316" s="250"/>
      <c r="E316" s="533"/>
      <c r="F316" s="248"/>
      <c r="G316" s="243"/>
    </row>
    <row r="317" spans="1:7" ht="19.5" customHeight="1">
      <c r="A317" s="245"/>
      <c r="B317" s="254"/>
      <c r="C317" s="250"/>
      <c r="D317" s="250"/>
      <c r="E317" s="533"/>
      <c r="F317" s="248"/>
      <c r="G317" s="243"/>
    </row>
    <row r="318" spans="1:7" ht="19.5" customHeight="1">
      <c r="A318" s="245"/>
      <c r="B318" s="254"/>
      <c r="C318" s="250"/>
      <c r="D318" s="250"/>
      <c r="E318" s="533"/>
      <c r="F318" s="248"/>
      <c r="G318" s="243"/>
    </row>
    <row r="319" spans="1:7" ht="19.5" customHeight="1">
      <c r="A319" s="245"/>
      <c r="B319" s="254"/>
      <c r="C319" s="250"/>
      <c r="D319" s="250"/>
      <c r="E319" s="533"/>
      <c r="F319" s="248"/>
      <c r="G319" s="243"/>
    </row>
    <row r="320" spans="1:7" ht="19.5" customHeight="1">
      <c r="A320" s="245"/>
      <c r="B320" s="254"/>
      <c r="C320" s="250"/>
      <c r="D320" s="250"/>
      <c r="E320" s="533"/>
      <c r="F320" s="248"/>
      <c r="G320" s="243"/>
    </row>
    <row r="321" spans="1:7" ht="19.5" customHeight="1">
      <c r="A321" s="245"/>
      <c r="B321" s="254"/>
      <c r="C321" s="250"/>
      <c r="D321" s="250"/>
      <c r="E321" s="533"/>
      <c r="F321" s="248"/>
      <c r="G321" s="243"/>
    </row>
    <row r="322" spans="1:7" ht="19.5" customHeight="1" thickBot="1">
      <c r="A322" s="251"/>
      <c r="B322" s="496"/>
      <c r="C322" s="648"/>
      <c r="D322" s="252"/>
      <c r="E322" s="593"/>
      <c r="F322" s="252"/>
      <c r="G322" s="253"/>
    </row>
    <row r="323" spans="1:7" ht="16.5" customHeight="1">
      <c r="A323" s="254"/>
      <c r="B323" s="254"/>
      <c r="C323" s="240"/>
      <c r="D323" s="255"/>
      <c r="E323" s="592"/>
      <c r="F323" s="255"/>
      <c r="G323" s="171"/>
    </row>
    <row r="324" spans="1:7" ht="27" customHeight="1">
      <c r="A324" s="254"/>
      <c r="B324" s="254"/>
      <c r="C324" s="159"/>
      <c r="D324" s="171"/>
      <c r="E324" s="539" t="s">
        <v>265</v>
      </c>
      <c r="F324" s="159"/>
      <c r="G324" s="171"/>
    </row>
    <row r="325" spans="1:7" ht="27" customHeight="1">
      <c r="A325" s="254"/>
      <c r="B325" s="254"/>
      <c r="C325" s="159"/>
      <c r="D325" s="171"/>
      <c r="E325" s="750" t="s">
        <v>169</v>
      </c>
      <c r="F325" s="750"/>
      <c r="G325" s="171"/>
    </row>
    <row r="326" spans="1:7" ht="23.25" customHeight="1">
      <c r="A326" s="254"/>
      <c r="B326" s="254"/>
      <c r="C326" s="159"/>
      <c r="D326" s="750" t="s">
        <v>376</v>
      </c>
      <c r="E326" s="750"/>
      <c r="F326" s="750"/>
      <c r="G326" s="750"/>
    </row>
    <row r="327" spans="1:7" ht="21" customHeight="1">
      <c r="A327" s="254"/>
      <c r="B327" s="254"/>
      <c r="C327" s="159"/>
      <c r="D327" s="171"/>
      <c r="E327" s="533"/>
      <c r="F327" s="171"/>
      <c r="G327" s="171"/>
    </row>
    <row r="328" spans="1:7" ht="16.5" customHeight="1">
      <c r="A328" s="254"/>
      <c r="B328" s="254"/>
      <c r="C328" s="159"/>
      <c r="D328" s="171"/>
      <c r="E328" s="796" t="s">
        <v>264</v>
      </c>
      <c r="F328" s="796"/>
      <c r="G328" s="171"/>
    </row>
    <row r="329" spans="1:7" ht="21" customHeight="1">
      <c r="A329" s="254"/>
      <c r="B329" s="254"/>
      <c r="C329" s="159"/>
      <c r="D329" s="256"/>
      <c r="E329" s="533"/>
      <c r="F329" s="255"/>
      <c r="G329" s="171"/>
    </row>
    <row r="330" spans="1:7" ht="24.75" customHeight="1">
      <c r="A330" s="254"/>
      <c r="B330" s="254"/>
      <c r="C330" s="159"/>
      <c r="D330" s="171"/>
      <c r="E330" s="539" t="s">
        <v>266</v>
      </c>
      <c r="F330" s="159"/>
      <c r="G330" s="171"/>
    </row>
    <row r="331" spans="1:8" ht="30" customHeight="1">
      <c r="A331" s="254"/>
      <c r="B331" s="254"/>
      <c r="C331" s="257"/>
      <c r="D331" s="171"/>
      <c r="E331" s="796" t="s">
        <v>402</v>
      </c>
      <c r="F331" s="796"/>
      <c r="G331" s="796"/>
      <c r="H331" s="796"/>
    </row>
    <row r="332" spans="1:7" ht="30" customHeight="1">
      <c r="A332" s="254"/>
      <c r="B332" s="254"/>
      <c r="C332" s="240"/>
      <c r="D332" s="806" t="s">
        <v>403</v>
      </c>
      <c r="E332" s="806"/>
      <c r="F332" s="806"/>
      <c r="G332" s="806"/>
    </row>
    <row r="333" spans="6:7" ht="21" customHeight="1">
      <c r="F333" s="789" t="s">
        <v>429</v>
      </c>
      <c r="G333" s="789"/>
    </row>
    <row r="334" spans="5:7" ht="21" customHeight="1">
      <c r="E334" s="756" t="s">
        <v>430</v>
      </c>
      <c r="F334" s="756"/>
      <c r="G334" s="756"/>
    </row>
    <row r="335" spans="1:7" ht="21" customHeight="1">
      <c r="A335" s="754" t="s">
        <v>89</v>
      </c>
      <c r="B335" s="754"/>
      <c r="C335" s="754"/>
      <c r="D335" s="754"/>
      <c r="E335" s="754"/>
      <c r="F335" s="754"/>
      <c r="G335" s="754"/>
    </row>
    <row r="336" spans="1:4" ht="21" customHeight="1" thickBot="1">
      <c r="A336" s="174" t="s">
        <v>121</v>
      </c>
      <c r="B336" s="174"/>
      <c r="C336" s="174"/>
      <c r="D336" s="223"/>
    </row>
    <row r="337" spans="1:7" ht="21" customHeight="1" thickBot="1">
      <c r="A337" s="777" t="s">
        <v>52</v>
      </c>
      <c r="B337" s="782"/>
      <c r="C337" s="782"/>
      <c r="D337" s="783"/>
      <c r="E337" s="588" t="s">
        <v>47</v>
      </c>
      <c r="F337" s="225" t="s">
        <v>9</v>
      </c>
      <c r="G337" s="226" t="s">
        <v>10</v>
      </c>
    </row>
    <row r="338" spans="1:7" ht="21" customHeight="1">
      <c r="A338" s="185" t="s">
        <v>109</v>
      </c>
      <c r="B338" s="186"/>
      <c r="C338" s="186"/>
      <c r="D338" s="186"/>
      <c r="E338" s="589" t="s">
        <v>242</v>
      </c>
      <c r="F338" s="227">
        <v>775028.77</v>
      </c>
      <c r="G338" s="228"/>
    </row>
    <row r="339" spans="1:7" ht="21" customHeight="1">
      <c r="A339" s="185"/>
      <c r="B339" s="186"/>
      <c r="C339" s="186" t="s">
        <v>110</v>
      </c>
      <c r="D339" s="186"/>
      <c r="E339" s="590" t="s">
        <v>241</v>
      </c>
      <c r="F339" s="230"/>
      <c r="G339" s="231">
        <f>SUM(F338:F338)</f>
        <v>775028.77</v>
      </c>
    </row>
    <row r="340" spans="1:7" ht="21" customHeight="1">
      <c r="A340" s="232"/>
      <c r="B340" s="233"/>
      <c r="C340" s="233"/>
      <c r="D340" s="233"/>
      <c r="E340" s="590"/>
      <c r="F340" s="230"/>
      <c r="G340" s="231"/>
    </row>
    <row r="341" spans="1:7" ht="21" customHeight="1">
      <c r="A341" s="232"/>
      <c r="B341" s="233"/>
      <c r="C341" s="233"/>
      <c r="D341" s="233"/>
      <c r="E341" s="590"/>
      <c r="F341" s="230"/>
      <c r="G341" s="231"/>
    </row>
    <row r="342" spans="1:7" ht="21" customHeight="1">
      <c r="A342" s="232"/>
      <c r="B342" s="233"/>
      <c r="C342" s="233"/>
      <c r="D342" s="233"/>
      <c r="E342" s="590"/>
      <c r="F342" s="230"/>
      <c r="G342" s="231"/>
    </row>
    <row r="343" spans="1:7" ht="21" customHeight="1">
      <c r="A343" s="232"/>
      <c r="B343" s="233"/>
      <c r="C343" s="233"/>
      <c r="D343" s="233"/>
      <c r="E343" s="590"/>
      <c r="F343" s="230"/>
      <c r="G343" s="231"/>
    </row>
    <row r="344" spans="1:7" ht="21" customHeight="1">
      <c r="A344" s="232"/>
      <c r="B344" s="233"/>
      <c r="C344" s="233"/>
      <c r="D344" s="233"/>
      <c r="E344" s="590"/>
      <c r="F344" s="234"/>
      <c r="G344" s="231"/>
    </row>
    <row r="345" spans="1:7" ht="21" customHeight="1">
      <c r="A345" s="232"/>
      <c r="B345" s="233"/>
      <c r="C345" s="233"/>
      <c r="D345" s="233"/>
      <c r="E345" s="590"/>
      <c r="F345" s="234"/>
      <c r="G345" s="231"/>
    </row>
    <row r="346" spans="1:7" ht="21.75" customHeight="1" thickBot="1">
      <c r="A346" s="235"/>
      <c r="B346" s="236"/>
      <c r="C346" s="236"/>
      <c r="D346" s="237"/>
      <c r="E346" s="591"/>
      <c r="F346" s="238">
        <f>SUM(F338:F339)</f>
        <v>775028.77</v>
      </c>
      <c r="G346" s="239">
        <f>SUM(G339:G339)</f>
        <v>775028.77</v>
      </c>
    </row>
    <row r="347" spans="1:7" ht="19.5" customHeight="1" thickTop="1">
      <c r="A347" s="217" t="s">
        <v>90</v>
      </c>
      <c r="B347" s="240" t="s">
        <v>124</v>
      </c>
      <c r="C347" s="241"/>
      <c r="D347" s="242"/>
      <c r="E347" s="532"/>
      <c r="F347" s="171"/>
      <c r="G347" s="550"/>
    </row>
    <row r="348" spans="1:7" ht="19.5" customHeight="1">
      <c r="A348" s="244"/>
      <c r="B348" s="240" t="s">
        <v>171</v>
      </c>
      <c r="C348" s="241"/>
      <c r="D348" s="242"/>
      <c r="E348" s="532"/>
      <c r="F348" s="171"/>
      <c r="G348" s="243"/>
    </row>
    <row r="349" spans="1:7" ht="19.5" customHeight="1">
      <c r="A349" s="245">
        <v>1</v>
      </c>
      <c r="B349" s="540" t="s">
        <v>431</v>
      </c>
      <c r="C349" s="540"/>
      <c r="D349" s="170" t="s">
        <v>46</v>
      </c>
      <c r="E349" s="532">
        <v>12434.01</v>
      </c>
      <c r="F349" s="171" t="s">
        <v>30</v>
      </c>
      <c r="G349" s="243"/>
    </row>
    <row r="350" spans="1:7" ht="19.5" customHeight="1">
      <c r="A350" s="245">
        <v>2</v>
      </c>
      <c r="B350" s="246" t="s">
        <v>432</v>
      </c>
      <c r="C350" s="246"/>
      <c r="D350" s="170" t="s">
        <v>46</v>
      </c>
      <c r="E350" s="532">
        <v>17500</v>
      </c>
      <c r="F350" s="171" t="s">
        <v>30</v>
      </c>
      <c r="G350" s="243"/>
    </row>
    <row r="351" spans="1:7" ht="19.5" customHeight="1">
      <c r="A351" s="245"/>
      <c r="B351" s="240" t="s">
        <v>433</v>
      </c>
      <c r="C351" s="247"/>
      <c r="D351" s="170"/>
      <c r="E351" s="537"/>
      <c r="F351" s="171"/>
      <c r="G351" s="243"/>
    </row>
    <row r="352" spans="1:7" ht="19.5" customHeight="1">
      <c r="A352" s="245">
        <v>3</v>
      </c>
      <c r="B352" s="240" t="s">
        <v>434</v>
      </c>
      <c r="C352" s="249"/>
      <c r="D352" s="170" t="s">
        <v>46</v>
      </c>
      <c r="E352" s="532">
        <v>70825.59</v>
      </c>
      <c r="F352" s="171" t="s">
        <v>30</v>
      </c>
      <c r="G352" s="243"/>
    </row>
    <row r="353" spans="1:7" ht="19.5" customHeight="1">
      <c r="A353" s="245"/>
      <c r="B353" s="541" t="s">
        <v>435</v>
      </c>
      <c r="C353" s="247"/>
      <c r="D353" s="170"/>
      <c r="E353" s="532"/>
      <c r="F353" s="171"/>
      <c r="G353" s="243"/>
    </row>
    <row r="354" spans="1:7" ht="19.5" customHeight="1">
      <c r="A354" s="245">
        <v>4</v>
      </c>
      <c r="B354" s="529" t="s">
        <v>415</v>
      </c>
      <c r="C354" s="247"/>
      <c r="D354" s="170" t="s">
        <v>46</v>
      </c>
      <c r="E354" s="532">
        <v>139838.71</v>
      </c>
      <c r="F354" s="171" t="s">
        <v>30</v>
      </c>
      <c r="G354" s="243"/>
    </row>
    <row r="355" spans="1:7" ht="19.5" customHeight="1">
      <c r="A355" s="245">
        <v>5</v>
      </c>
      <c r="B355" s="540" t="s">
        <v>416</v>
      </c>
      <c r="C355" s="540"/>
      <c r="D355" s="170" t="s">
        <v>46</v>
      </c>
      <c r="E355" s="537">
        <v>57340.7</v>
      </c>
      <c r="F355" s="171" t="s">
        <v>30</v>
      </c>
      <c r="G355" s="243"/>
    </row>
    <row r="356" spans="1:7" ht="19.5" customHeight="1">
      <c r="A356" s="245">
        <v>6</v>
      </c>
      <c r="B356" s="159" t="s">
        <v>417</v>
      </c>
      <c r="C356" s="159"/>
      <c r="D356" s="170" t="s">
        <v>46</v>
      </c>
      <c r="E356" s="537">
        <v>145589.76</v>
      </c>
      <c r="F356" s="171" t="s">
        <v>30</v>
      </c>
      <c r="G356" s="243"/>
    </row>
    <row r="357" spans="1:7" ht="19.5" customHeight="1">
      <c r="A357" s="245">
        <v>7</v>
      </c>
      <c r="B357" s="240" t="s">
        <v>436</v>
      </c>
      <c r="C357" s="247"/>
      <c r="D357" s="170" t="s">
        <v>46</v>
      </c>
      <c r="E357" s="537">
        <v>331500</v>
      </c>
      <c r="F357" s="171" t="s">
        <v>30</v>
      </c>
      <c r="G357" s="243"/>
    </row>
    <row r="358" spans="1:7" ht="19.5" customHeight="1">
      <c r="A358" s="245"/>
      <c r="B358" s="250" t="s">
        <v>437</v>
      </c>
      <c r="C358" s="250"/>
      <c r="D358" s="170"/>
      <c r="E358" s="537"/>
      <c r="F358" s="171"/>
      <c r="G358" s="243"/>
    </row>
    <row r="359" spans="1:7" ht="19.5" customHeight="1">
      <c r="A359" s="245"/>
      <c r="B359" s="254"/>
      <c r="C359" s="250"/>
      <c r="D359" s="250"/>
      <c r="E359" s="533"/>
      <c r="F359" s="248"/>
      <c r="G359" s="243"/>
    </row>
    <row r="360" spans="1:7" ht="19.5" customHeight="1">
      <c r="A360" s="245"/>
      <c r="B360" s="254"/>
      <c r="C360" s="250"/>
      <c r="D360" s="250"/>
      <c r="E360" s="533"/>
      <c r="F360" s="248"/>
      <c r="G360" s="243"/>
    </row>
    <row r="361" spans="1:7" ht="19.5" customHeight="1" thickBot="1">
      <c r="A361" s="251"/>
      <c r="B361" s="496"/>
      <c r="C361" s="648"/>
      <c r="D361" s="252" t="s">
        <v>70</v>
      </c>
      <c r="E361" s="595">
        <f>SUM(E349:E357)</f>
        <v>775028.77</v>
      </c>
      <c r="F361" s="252" t="s">
        <v>30</v>
      </c>
      <c r="G361" s="253"/>
    </row>
    <row r="362" spans="1:7" ht="16.5" customHeight="1">
      <c r="A362" s="254"/>
      <c r="B362" s="254"/>
      <c r="C362" s="240"/>
      <c r="D362" s="255"/>
      <c r="E362" s="592"/>
      <c r="F362" s="255"/>
      <c r="G362" s="171"/>
    </row>
    <row r="363" spans="1:7" ht="27" customHeight="1">
      <c r="A363" s="254"/>
      <c r="B363" s="254"/>
      <c r="C363" s="159"/>
      <c r="D363" s="171"/>
      <c r="E363" s="539" t="s">
        <v>265</v>
      </c>
      <c r="F363" s="159"/>
      <c r="G363" s="171"/>
    </row>
    <row r="364" spans="1:7" ht="27" customHeight="1">
      <c r="A364" s="254"/>
      <c r="B364" s="254"/>
      <c r="C364" s="159"/>
      <c r="D364" s="171"/>
      <c r="E364" s="750" t="s">
        <v>169</v>
      </c>
      <c r="F364" s="750"/>
      <c r="G364" s="171"/>
    </row>
    <row r="365" spans="1:7" ht="23.25" customHeight="1">
      <c r="A365" s="254"/>
      <c r="B365" s="254"/>
      <c r="C365" s="159"/>
      <c r="D365" s="750" t="s">
        <v>376</v>
      </c>
      <c r="E365" s="750"/>
      <c r="F365" s="750"/>
      <c r="G365" s="750"/>
    </row>
    <row r="366" spans="1:7" ht="21" customHeight="1">
      <c r="A366" s="254"/>
      <c r="B366" s="254"/>
      <c r="C366" s="159"/>
      <c r="D366" s="171"/>
      <c r="E366" s="533"/>
      <c r="F366" s="171"/>
      <c r="G366" s="171"/>
    </row>
    <row r="367" spans="1:7" ht="16.5" customHeight="1">
      <c r="A367" s="254"/>
      <c r="B367" s="254"/>
      <c r="C367" s="159"/>
      <c r="D367" s="171"/>
      <c r="E367" s="796" t="s">
        <v>264</v>
      </c>
      <c r="F367" s="796"/>
      <c r="G367" s="171"/>
    </row>
    <row r="368" spans="1:7" ht="21" customHeight="1">
      <c r="A368" s="254"/>
      <c r="B368" s="254"/>
      <c r="C368" s="159"/>
      <c r="D368" s="256"/>
      <c r="E368" s="533"/>
      <c r="F368" s="255"/>
      <c r="G368" s="171"/>
    </row>
    <row r="369" spans="1:7" ht="24.75" customHeight="1">
      <c r="A369" s="254"/>
      <c r="B369" s="254"/>
      <c r="C369" s="159"/>
      <c r="D369" s="171"/>
      <c r="E369" s="539" t="s">
        <v>266</v>
      </c>
      <c r="F369" s="159"/>
      <c r="G369" s="171"/>
    </row>
    <row r="370" spans="1:8" ht="30" customHeight="1">
      <c r="A370" s="254"/>
      <c r="B370" s="254"/>
      <c r="C370" s="257"/>
      <c r="D370" s="171"/>
      <c r="E370" s="796" t="s">
        <v>402</v>
      </c>
      <c r="F370" s="796"/>
      <c r="G370" s="796"/>
      <c r="H370" s="796"/>
    </row>
    <row r="371" spans="1:7" ht="30" customHeight="1">
      <c r="A371" s="254"/>
      <c r="B371" s="254"/>
      <c r="C371" s="240"/>
      <c r="D371" s="806" t="s">
        <v>403</v>
      </c>
      <c r="E371" s="806"/>
      <c r="F371" s="806"/>
      <c r="G371" s="806"/>
    </row>
    <row r="372" spans="6:7" ht="21" customHeight="1">
      <c r="F372" s="789" t="s">
        <v>438</v>
      </c>
      <c r="G372" s="789"/>
    </row>
    <row r="373" spans="5:7" ht="21" customHeight="1">
      <c r="E373" s="756" t="s">
        <v>430</v>
      </c>
      <c r="F373" s="756"/>
      <c r="G373" s="756"/>
    </row>
    <row r="374" spans="1:7" ht="21" customHeight="1">
      <c r="A374" s="754" t="s">
        <v>89</v>
      </c>
      <c r="B374" s="754"/>
      <c r="C374" s="754"/>
      <c r="D374" s="754"/>
      <c r="E374" s="754"/>
      <c r="F374" s="754"/>
      <c r="G374" s="754"/>
    </row>
    <row r="375" spans="1:4" ht="21" customHeight="1" thickBot="1">
      <c r="A375" s="174" t="s">
        <v>121</v>
      </c>
      <c r="B375" s="174"/>
      <c r="C375" s="174"/>
      <c r="D375" s="223"/>
    </row>
    <row r="376" spans="1:7" ht="21" customHeight="1" thickBot="1">
      <c r="A376" s="777" t="s">
        <v>52</v>
      </c>
      <c r="B376" s="782"/>
      <c r="C376" s="782"/>
      <c r="D376" s="783"/>
      <c r="E376" s="588" t="s">
        <v>47</v>
      </c>
      <c r="F376" s="225" t="s">
        <v>9</v>
      </c>
      <c r="G376" s="226" t="s">
        <v>10</v>
      </c>
    </row>
    <row r="377" spans="1:7" ht="21" customHeight="1">
      <c r="A377" s="185" t="s">
        <v>109</v>
      </c>
      <c r="B377" s="186"/>
      <c r="C377" s="186"/>
      <c r="D377" s="186"/>
      <c r="E377" s="589" t="s">
        <v>242</v>
      </c>
      <c r="F377" s="227">
        <v>1256695.22</v>
      </c>
      <c r="G377" s="228"/>
    </row>
    <row r="378" spans="1:7" ht="21" customHeight="1">
      <c r="A378" s="185"/>
      <c r="B378" s="186"/>
      <c r="C378" s="186" t="s">
        <v>110</v>
      </c>
      <c r="D378" s="186"/>
      <c r="E378" s="590" t="s">
        <v>241</v>
      </c>
      <c r="F378" s="230"/>
      <c r="G378" s="231">
        <f>SUM(F377:F377)</f>
        <v>1256695.22</v>
      </c>
    </row>
    <row r="379" spans="1:7" ht="21" customHeight="1">
      <c r="A379" s="232"/>
      <c r="B379" s="233"/>
      <c r="C379" s="233"/>
      <c r="D379" s="233"/>
      <c r="E379" s="590"/>
      <c r="F379" s="230"/>
      <c r="G379" s="231"/>
    </row>
    <row r="380" spans="1:7" ht="21" customHeight="1">
      <c r="A380" s="232"/>
      <c r="B380" s="233"/>
      <c r="C380" s="233"/>
      <c r="D380" s="233"/>
      <c r="E380" s="590"/>
      <c r="F380" s="230"/>
      <c r="G380" s="231"/>
    </row>
    <row r="381" spans="1:7" ht="21" customHeight="1">
      <c r="A381" s="232"/>
      <c r="B381" s="233"/>
      <c r="C381" s="233"/>
      <c r="D381" s="233"/>
      <c r="E381" s="590"/>
      <c r="F381" s="230"/>
      <c r="G381" s="231"/>
    </row>
    <row r="382" spans="1:7" ht="21" customHeight="1">
      <c r="A382" s="232"/>
      <c r="B382" s="233"/>
      <c r="C382" s="233"/>
      <c r="D382" s="233"/>
      <c r="E382" s="590"/>
      <c r="F382" s="230"/>
      <c r="G382" s="231"/>
    </row>
    <row r="383" spans="1:7" ht="21" customHeight="1">
      <c r="A383" s="232"/>
      <c r="B383" s="233"/>
      <c r="C383" s="233"/>
      <c r="D383" s="233"/>
      <c r="E383" s="590"/>
      <c r="F383" s="234"/>
      <c r="G383" s="231"/>
    </row>
    <row r="384" spans="1:7" ht="21" customHeight="1">
      <c r="A384" s="232"/>
      <c r="B384" s="233"/>
      <c r="C384" s="233"/>
      <c r="D384" s="233"/>
      <c r="E384" s="590"/>
      <c r="F384" s="234"/>
      <c r="G384" s="231"/>
    </row>
    <row r="385" spans="1:7" ht="21.75" customHeight="1" thickBot="1">
      <c r="A385" s="235"/>
      <c r="B385" s="236"/>
      <c r="C385" s="236"/>
      <c r="D385" s="237"/>
      <c r="E385" s="591"/>
      <c r="F385" s="238">
        <f>SUM(F377:F378)</f>
        <v>1256695.22</v>
      </c>
      <c r="G385" s="239">
        <f>SUM(G378:G378)</f>
        <v>1256695.22</v>
      </c>
    </row>
    <row r="386" spans="1:7" ht="19.5" customHeight="1" thickTop="1">
      <c r="A386" s="217" t="s">
        <v>90</v>
      </c>
      <c r="B386" s="240" t="s">
        <v>124</v>
      </c>
      <c r="C386" s="241"/>
      <c r="D386" s="242"/>
      <c r="E386" s="532"/>
      <c r="F386" s="171"/>
      <c r="G386" s="550"/>
    </row>
    <row r="387" spans="1:7" ht="19.5" customHeight="1">
      <c r="A387" s="244"/>
      <c r="B387" s="240" t="s">
        <v>171</v>
      </c>
      <c r="C387" s="241"/>
      <c r="D387" s="242"/>
      <c r="E387" s="532"/>
      <c r="F387" s="171"/>
      <c r="G387" s="243"/>
    </row>
    <row r="388" spans="1:7" ht="19.5" customHeight="1">
      <c r="A388" s="245">
        <v>1</v>
      </c>
      <c r="B388" s="540" t="s">
        <v>439</v>
      </c>
      <c r="C388" s="540"/>
      <c r="D388" s="170" t="s">
        <v>46</v>
      </c>
      <c r="E388" s="532">
        <v>1238525.69</v>
      </c>
      <c r="F388" s="171" t="s">
        <v>30</v>
      </c>
      <c r="G388" s="243"/>
    </row>
    <row r="389" spans="1:7" ht="19.5" customHeight="1">
      <c r="A389" s="245"/>
      <c r="B389" s="246" t="s">
        <v>440</v>
      </c>
      <c r="C389" s="246"/>
      <c r="D389" s="170"/>
      <c r="E389" s="532"/>
      <c r="F389" s="171"/>
      <c r="G389" s="243"/>
    </row>
    <row r="390" spans="1:7" ht="19.5" customHeight="1">
      <c r="A390" s="245">
        <v>2</v>
      </c>
      <c r="B390" s="240" t="s">
        <v>404</v>
      </c>
      <c r="C390" s="247"/>
      <c r="D390" s="170" t="s">
        <v>46</v>
      </c>
      <c r="E390" s="537">
        <v>10934</v>
      </c>
      <c r="F390" s="171" t="s">
        <v>30</v>
      </c>
      <c r="G390" s="243"/>
    </row>
    <row r="391" spans="1:7" ht="19.5" customHeight="1">
      <c r="A391" s="245"/>
      <c r="B391" s="240" t="s">
        <v>441</v>
      </c>
      <c r="C391" s="249"/>
      <c r="D391" s="170"/>
      <c r="E391" s="532"/>
      <c r="F391" s="171"/>
      <c r="G391" s="243"/>
    </row>
    <row r="392" spans="1:7" ht="19.5" customHeight="1">
      <c r="A392" s="245">
        <v>3</v>
      </c>
      <c r="B392" s="529" t="s">
        <v>399</v>
      </c>
      <c r="C392" s="247"/>
      <c r="D392" s="170" t="s">
        <v>46</v>
      </c>
      <c r="E392" s="532">
        <v>7235.53</v>
      </c>
      <c r="F392" s="171" t="s">
        <v>30</v>
      </c>
      <c r="G392" s="243"/>
    </row>
    <row r="393" spans="1:7" ht="19.5" customHeight="1">
      <c r="A393" s="245"/>
      <c r="B393" s="529"/>
      <c r="C393" s="247"/>
      <c r="D393" s="170"/>
      <c r="E393" s="532"/>
      <c r="F393" s="171"/>
      <c r="G393" s="243"/>
    </row>
    <row r="394" spans="1:7" ht="19.5" customHeight="1">
      <c r="A394" s="245"/>
      <c r="B394" s="254"/>
      <c r="C394" s="805"/>
      <c r="D394" s="805"/>
      <c r="E394" s="533"/>
      <c r="F394" s="248"/>
      <c r="G394" s="243"/>
    </row>
    <row r="395" spans="1:7" ht="19.5" customHeight="1">
      <c r="A395" s="245"/>
      <c r="B395" s="254"/>
      <c r="C395" s="159"/>
      <c r="D395" s="159"/>
      <c r="E395" s="533"/>
      <c r="F395" s="248"/>
      <c r="G395" s="243"/>
    </row>
    <row r="396" spans="1:7" ht="19.5" customHeight="1">
      <c r="A396" s="245"/>
      <c r="B396" s="254"/>
      <c r="C396" s="240"/>
      <c r="D396" s="247"/>
      <c r="E396" s="533"/>
      <c r="F396" s="248"/>
      <c r="G396" s="243"/>
    </row>
    <row r="397" spans="1:7" ht="19.5" customHeight="1">
      <c r="A397" s="245"/>
      <c r="B397" s="254"/>
      <c r="C397" s="250"/>
      <c r="D397" s="250"/>
      <c r="E397" s="533"/>
      <c r="F397" s="248"/>
      <c r="G397" s="243"/>
    </row>
    <row r="398" spans="1:7" ht="19.5" customHeight="1">
      <c r="A398" s="245"/>
      <c r="B398" s="254"/>
      <c r="C398" s="250"/>
      <c r="D398" s="250"/>
      <c r="E398" s="533"/>
      <c r="F398" s="248"/>
      <c r="G398" s="243"/>
    </row>
    <row r="399" spans="1:7" ht="19.5" customHeight="1">
      <c r="A399" s="245"/>
      <c r="B399" s="254"/>
      <c r="C399" s="250"/>
      <c r="D399" s="250"/>
      <c r="E399" s="533"/>
      <c r="F399" s="248"/>
      <c r="G399" s="243"/>
    </row>
    <row r="400" spans="1:7" ht="19.5" customHeight="1" thickBot="1">
      <c r="A400" s="251"/>
      <c r="B400" s="496"/>
      <c r="C400" s="648"/>
      <c r="D400" s="252" t="s">
        <v>70</v>
      </c>
      <c r="E400" s="595">
        <f>SUM(E388:E393)</f>
        <v>1256695.22</v>
      </c>
      <c r="F400" s="252" t="s">
        <v>30</v>
      </c>
      <c r="G400" s="253"/>
    </row>
    <row r="401" spans="1:7" ht="16.5" customHeight="1">
      <c r="A401" s="254"/>
      <c r="B401" s="254"/>
      <c r="C401" s="240"/>
      <c r="D401" s="255"/>
      <c r="E401" s="592"/>
      <c r="F401" s="255"/>
      <c r="G401" s="171"/>
    </row>
    <row r="402" spans="1:7" ht="27" customHeight="1">
      <c r="A402" s="254"/>
      <c r="B402" s="254"/>
      <c r="C402" s="159"/>
      <c r="D402" s="171"/>
      <c r="E402" s="539" t="s">
        <v>265</v>
      </c>
      <c r="F402" s="159"/>
      <c r="G402" s="171"/>
    </row>
    <row r="403" spans="1:7" ht="27" customHeight="1">
      <c r="A403" s="254"/>
      <c r="B403" s="254"/>
      <c r="C403" s="159"/>
      <c r="D403" s="171"/>
      <c r="E403" s="750" t="s">
        <v>169</v>
      </c>
      <c r="F403" s="750"/>
      <c r="G403" s="171"/>
    </row>
    <row r="404" spans="1:7" ht="23.25" customHeight="1">
      <c r="A404" s="254"/>
      <c r="B404" s="254"/>
      <c r="C404" s="159"/>
      <c r="D404" s="750" t="s">
        <v>376</v>
      </c>
      <c r="E404" s="750"/>
      <c r="F404" s="750"/>
      <c r="G404" s="750"/>
    </row>
    <row r="405" spans="1:7" ht="21" customHeight="1">
      <c r="A405" s="254"/>
      <c r="B405" s="254"/>
      <c r="C405" s="159"/>
      <c r="D405" s="171"/>
      <c r="E405" s="533"/>
      <c r="F405" s="171"/>
      <c r="G405" s="171"/>
    </row>
    <row r="406" spans="1:7" ht="16.5" customHeight="1">
      <c r="A406" s="254"/>
      <c r="B406" s="254"/>
      <c r="C406" s="159"/>
      <c r="D406" s="171"/>
      <c r="E406" s="796" t="s">
        <v>264</v>
      </c>
      <c r="F406" s="796"/>
      <c r="G406" s="171"/>
    </row>
    <row r="407" spans="1:7" ht="21" customHeight="1">
      <c r="A407" s="254"/>
      <c r="B407" s="254"/>
      <c r="C407" s="159"/>
      <c r="D407" s="256"/>
      <c r="E407" s="533"/>
      <c r="F407" s="255"/>
      <c r="G407" s="171"/>
    </row>
    <row r="408" spans="1:7" ht="24.75" customHeight="1">
      <c r="A408" s="254"/>
      <c r="B408" s="254"/>
      <c r="C408" s="159"/>
      <c r="D408" s="171"/>
      <c r="E408" s="539" t="s">
        <v>266</v>
      </c>
      <c r="F408" s="159"/>
      <c r="G408" s="171"/>
    </row>
    <row r="409" spans="1:8" ht="30" customHeight="1">
      <c r="A409" s="254"/>
      <c r="B409" s="254"/>
      <c r="C409" s="257"/>
      <c r="D409" s="171"/>
      <c r="E409" s="796" t="s">
        <v>402</v>
      </c>
      <c r="F409" s="796"/>
      <c r="G409" s="796"/>
      <c r="H409" s="796"/>
    </row>
    <row r="410" spans="1:7" ht="30" customHeight="1">
      <c r="A410" s="254"/>
      <c r="B410" s="254"/>
      <c r="C410" s="240"/>
      <c r="D410" s="806" t="s">
        <v>403</v>
      </c>
      <c r="E410" s="806"/>
      <c r="F410" s="806"/>
      <c r="G410" s="806"/>
    </row>
    <row r="411" spans="6:7" ht="21" customHeight="1">
      <c r="F411" s="789" t="s">
        <v>442</v>
      </c>
      <c r="G411" s="789"/>
    </row>
    <row r="412" spans="5:7" ht="21" customHeight="1">
      <c r="E412" s="756" t="s">
        <v>430</v>
      </c>
      <c r="F412" s="756"/>
      <c r="G412" s="756"/>
    </row>
    <row r="413" spans="1:7" ht="21" customHeight="1">
      <c r="A413" s="754" t="s">
        <v>89</v>
      </c>
      <c r="B413" s="754"/>
      <c r="C413" s="754"/>
      <c r="D413" s="754"/>
      <c r="E413" s="754"/>
      <c r="F413" s="754"/>
      <c r="G413" s="754"/>
    </row>
    <row r="414" spans="1:4" ht="21" customHeight="1" thickBot="1">
      <c r="A414" s="174" t="s">
        <v>121</v>
      </c>
      <c r="B414" s="174"/>
      <c r="C414" s="174"/>
      <c r="D414" s="223"/>
    </row>
    <row r="415" spans="1:7" ht="21" customHeight="1" thickBot="1">
      <c r="A415" s="777" t="s">
        <v>52</v>
      </c>
      <c r="B415" s="782"/>
      <c r="C415" s="782"/>
      <c r="D415" s="783"/>
      <c r="E415" s="588" t="s">
        <v>47</v>
      </c>
      <c r="F415" s="225" t="s">
        <v>9</v>
      </c>
      <c r="G415" s="226" t="s">
        <v>10</v>
      </c>
    </row>
    <row r="416" spans="1:7" ht="21" customHeight="1">
      <c r="A416" s="185" t="s">
        <v>109</v>
      </c>
      <c r="B416" s="186"/>
      <c r="C416" s="186"/>
      <c r="D416" s="186"/>
      <c r="E416" s="589" t="s">
        <v>242</v>
      </c>
      <c r="F416" s="227">
        <v>92800.75</v>
      </c>
      <c r="G416" s="228"/>
    </row>
    <row r="417" spans="1:7" ht="21" customHeight="1">
      <c r="A417" s="185"/>
      <c r="B417" s="186"/>
      <c r="C417" s="186" t="s">
        <v>110</v>
      </c>
      <c r="D417" s="186"/>
      <c r="E417" s="590" t="s">
        <v>241</v>
      </c>
      <c r="F417" s="230"/>
      <c r="G417" s="231">
        <f>SUM(F416:F416)</f>
        <v>92800.75</v>
      </c>
    </row>
    <row r="418" spans="1:7" ht="21" customHeight="1">
      <c r="A418" s="232"/>
      <c r="B418" s="233"/>
      <c r="C418" s="233"/>
      <c r="D418" s="233"/>
      <c r="E418" s="590"/>
      <c r="F418" s="230"/>
      <c r="G418" s="231"/>
    </row>
    <row r="419" spans="1:7" ht="21" customHeight="1">
      <c r="A419" s="232"/>
      <c r="B419" s="233"/>
      <c r="C419" s="233"/>
      <c r="D419" s="233"/>
      <c r="E419" s="590"/>
      <c r="F419" s="230"/>
      <c r="G419" s="231"/>
    </row>
    <row r="420" spans="1:7" ht="21" customHeight="1">
      <c r="A420" s="232"/>
      <c r="B420" s="233"/>
      <c r="C420" s="233"/>
      <c r="D420" s="233"/>
      <c r="E420" s="590"/>
      <c r="F420" s="230"/>
      <c r="G420" s="231"/>
    </row>
    <row r="421" spans="1:7" ht="21" customHeight="1">
      <c r="A421" s="232"/>
      <c r="B421" s="233"/>
      <c r="C421" s="233"/>
      <c r="D421" s="233"/>
      <c r="E421" s="590"/>
      <c r="F421" s="230"/>
      <c r="G421" s="231"/>
    </row>
    <row r="422" spans="1:7" ht="21" customHeight="1">
      <c r="A422" s="232"/>
      <c r="B422" s="233"/>
      <c r="C422" s="233"/>
      <c r="D422" s="233"/>
      <c r="E422" s="590"/>
      <c r="F422" s="234"/>
      <c r="G422" s="231"/>
    </row>
    <row r="423" spans="1:7" ht="21" customHeight="1">
      <c r="A423" s="232"/>
      <c r="B423" s="233"/>
      <c r="C423" s="233"/>
      <c r="D423" s="233"/>
      <c r="E423" s="590"/>
      <c r="F423" s="234"/>
      <c r="G423" s="231"/>
    </row>
    <row r="424" spans="1:7" ht="21.75" customHeight="1" thickBot="1">
      <c r="A424" s="235"/>
      <c r="B424" s="236"/>
      <c r="C424" s="236"/>
      <c r="D424" s="237"/>
      <c r="E424" s="591"/>
      <c r="F424" s="238">
        <f>SUM(F416:F417)</f>
        <v>92800.75</v>
      </c>
      <c r="G424" s="239">
        <f>SUM(G417:G417)</f>
        <v>92800.75</v>
      </c>
    </row>
    <row r="425" spans="1:7" ht="19.5" customHeight="1" thickTop="1">
      <c r="A425" s="217" t="s">
        <v>90</v>
      </c>
      <c r="B425" s="240" t="s">
        <v>124</v>
      </c>
      <c r="C425" s="241"/>
      <c r="D425" s="242"/>
      <c r="E425" s="532"/>
      <c r="F425" s="171"/>
      <c r="G425" s="550"/>
    </row>
    <row r="426" spans="1:7" ht="19.5" customHeight="1">
      <c r="A426" s="244"/>
      <c r="B426" s="240" t="s">
        <v>171</v>
      </c>
      <c r="C426" s="241"/>
      <c r="D426" s="242"/>
      <c r="E426" s="532"/>
      <c r="F426" s="171"/>
      <c r="G426" s="243"/>
    </row>
    <row r="427" spans="1:7" ht="19.5" customHeight="1">
      <c r="A427" s="245">
        <v>1</v>
      </c>
      <c r="B427" s="540" t="s">
        <v>399</v>
      </c>
      <c r="C427" s="540"/>
      <c r="D427" s="170" t="s">
        <v>46</v>
      </c>
      <c r="E427" s="532">
        <v>10710.96</v>
      </c>
      <c r="F427" s="171" t="s">
        <v>30</v>
      </c>
      <c r="G427" s="243"/>
    </row>
    <row r="428" spans="1:7" ht="19.5" customHeight="1">
      <c r="A428" s="245">
        <v>2</v>
      </c>
      <c r="B428" s="246" t="s">
        <v>412</v>
      </c>
      <c r="C428" s="246"/>
      <c r="D428" s="170" t="s">
        <v>46</v>
      </c>
      <c r="E428" s="532">
        <v>862.88</v>
      </c>
      <c r="F428" s="171" t="s">
        <v>30</v>
      </c>
      <c r="G428" s="243"/>
    </row>
    <row r="429" spans="1:7" ht="19.5" customHeight="1">
      <c r="A429" s="245">
        <v>3</v>
      </c>
      <c r="B429" s="240" t="s">
        <v>412</v>
      </c>
      <c r="C429" s="247"/>
      <c r="D429" s="170" t="s">
        <v>46</v>
      </c>
      <c r="E429" s="537">
        <v>81168.71</v>
      </c>
      <c r="F429" s="171" t="s">
        <v>30</v>
      </c>
      <c r="G429" s="243"/>
    </row>
    <row r="430" spans="1:7" ht="19.5" customHeight="1">
      <c r="A430" s="245">
        <v>4</v>
      </c>
      <c r="B430" s="240" t="s">
        <v>443</v>
      </c>
      <c r="C430" s="249"/>
      <c r="D430" s="170" t="s">
        <v>46</v>
      </c>
      <c r="E430" s="532">
        <v>58.2</v>
      </c>
      <c r="F430" s="171" t="s">
        <v>30</v>
      </c>
      <c r="G430" s="243"/>
    </row>
    <row r="431" spans="1:7" ht="19.5" customHeight="1">
      <c r="A431" s="245"/>
      <c r="B431" s="529"/>
      <c r="C431" s="247"/>
      <c r="D431" s="170"/>
      <c r="E431" s="532"/>
      <c r="F431" s="171"/>
      <c r="G431" s="243"/>
    </row>
    <row r="432" spans="1:7" ht="19.5" customHeight="1">
      <c r="A432" s="245"/>
      <c r="B432" s="254"/>
      <c r="C432" s="529"/>
      <c r="D432" s="247"/>
      <c r="E432" s="533"/>
      <c r="F432" s="171"/>
      <c r="G432" s="243"/>
    </row>
    <row r="433" spans="1:7" ht="19.5" customHeight="1">
      <c r="A433" s="245"/>
      <c r="B433" s="254"/>
      <c r="C433" s="805"/>
      <c r="D433" s="805"/>
      <c r="E433" s="533"/>
      <c r="F433" s="248"/>
      <c r="G433" s="243"/>
    </row>
    <row r="434" spans="1:7" ht="19.5" customHeight="1">
      <c r="A434" s="245"/>
      <c r="B434" s="254"/>
      <c r="C434" s="159"/>
      <c r="D434" s="159"/>
      <c r="E434" s="533"/>
      <c r="F434" s="248"/>
      <c r="G434" s="243"/>
    </row>
    <row r="435" spans="1:7" ht="19.5" customHeight="1">
      <c r="A435" s="245"/>
      <c r="B435" s="254"/>
      <c r="C435" s="240"/>
      <c r="D435" s="247"/>
      <c r="E435" s="533"/>
      <c r="F435" s="248"/>
      <c r="G435" s="243"/>
    </row>
    <row r="436" spans="1:7" ht="19.5" customHeight="1">
      <c r="A436" s="245"/>
      <c r="B436" s="254"/>
      <c r="C436" s="250"/>
      <c r="D436" s="250"/>
      <c r="E436" s="533"/>
      <c r="F436" s="248"/>
      <c r="G436" s="243"/>
    </row>
    <row r="437" spans="1:7" ht="19.5" customHeight="1">
      <c r="A437" s="245"/>
      <c r="B437" s="254"/>
      <c r="C437" s="250"/>
      <c r="D437" s="250"/>
      <c r="E437" s="533"/>
      <c r="F437" s="248"/>
      <c r="G437" s="243"/>
    </row>
    <row r="438" spans="1:7" ht="19.5" customHeight="1">
      <c r="A438" s="245"/>
      <c r="B438" s="254"/>
      <c r="C438" s="250"/>
      <c r="D438" s="250"/>
      <c r="E438" s="533"/>
      <c r="F438" s="248"/>
      <c r="G438" s="243"/>
    </row>
    <row r="439" spans="1:7" ht="19.5" customHeight="1" thickBot="1">
      <c r="A439" s="251"/>
      <c r="B439" s="496"/>
      <c r="C439" s="648"/>
      <c r="D439" s="252" t="s">
        <v>70</v>
      </c>
      <c r="E439" s="595">
        <f>SUM(E427:E438)</f>
        <v>92800.75</v>
      </c>
      <c r="F439" s="252" t="s">
        <v>30</v>
      </c>
      <c r="G439" s="253"/>
    </row>
    <row r="440" spans="1:7" ht="16.5" customHeight="1">
      <c r="A440" s="254"/>
      <c r="B440" s="254"/>
      <c r="C440" s="240"/>
      <c r="D440" s="255"/>
      <c r="E440" s="592"/>
      <c r="F440" s="255"/>
      <c r="G440" s="171"/>
    </row>
    <row r="441" spans="1:7" ht="27" customHeight="1">
      <c r="A441" s="254"/>
      <c r="B441" s="254"/>
      <c r="C441" s="159"/>
      <c r="D441" s="171"/>
      <c r="E441" s="539" t="s">
        <v>265</v>
      </c>
      <c r="F441" s="159"/>
      <c r="G441" s="171"/>
    </row>
    <row r="442" spans="1:7" ht="27" customHeight="1">
      <c r="A442" s="254"/>
      <c r="B442" s="254"/>
      <c r="C442" s="159"/>
      <c r="D442" s="171"/>
      <c r="E442" s="750" t="s">
        <v>169</v>
      </c>
      <c r="F442" s="750"/>
      <c r="G442" s="171"/>
    </row>
    <row r="443" spans="1:7" ht="23.25" customHeight="1">
      <c r="A443" s="254"/>
      <c r="B443" s="254"/>
      <c r="C443" s="159"/>
      <c r="D443" s="750" t="s">
        <v>376</v>
      </c>
      <c r="E443" s="750"/>
      <c r="F443" s="750"/>
      <c r="G443" s="750"/>
    </row>
    <row r="444" spans="1:7" ht="21" customHeight="1">
      <c r="A444" s="254"/>
      <c r="B444" s="254"/>
      <c r="C444" s="159"/>
      <c r="D444" s="171"/>
      <c r="E444" s="533"/>
      <c r="F444" s="171"/>
      <c r="G444" s="171"/>
    </row>
    <row r="445" spans="1:7" ht="16.5" customHeight="1">
      <c r="A445" s="254"/>
      <c r="B445" s="254"/>
      <c r="C445" s="159"/>
      <c r="D445" s="171"/>
      <c r="E445" s="796" t="s">
        <v>264</v>
      </c>
      <c r="F445" s="796"/>
      <c r="G445" s="171"/>
    </row>
    <row r="446" spans="1:7" ht="21" customHeight="1">
      <c r="A446" s="254"/>
      <c r="B446" s="254"/>
      <c r="C446" s="159"/>
      <c r="D446" s="256"/>
      <c r="E446" s="533"/>
      <c r="F446" s="255"/>
      <c r="G446" s="171"/>
    </row>
    <row r="447" spans="1:7" ht="24.75" customHeight="1">
      <c r="A447" s="254"/>
      <c r="B447" s="254"/>
      <c r="C447" s="159"/>
      <c r="D447" s="171"/>
      <c r="E447" s="539" t="s">
        <v>266</v>
      </c>
      <c r="F447" s="159"/>
      <c r="G447" s="171"/>
    </row>
    <row r="448" spans="1:8" ht="30" customHeight="1">
      <c r="A448" s="254"/>
      <c r="B448" s="254"/>
      <c r="C448" s="257"/>
      <c r="D448" s="171"/>
      <c r="E448" s="796" t="s">
        <v>402</v>
      </c>
      <c r="F448" s="796"/>
      <c r="G448" s="796"/>
      <c r="H448" s="796"/>
    </row>
    <row r="449" spans="1:7" ht="30" customHeight="1">
      <c r="A449" s="254"/>
      <c r="B449" s="254"/>
      <c r="C449" s="240"/>
      <c r="D449" s="806" t="s">
        <v>403</v>
      </c>
      <c r="E449" s="806"/>
      <c r="F449" s="806"/>
      <c r="G449" s="806"/>
    </row>
    <row r="450" spans="6:7" ht="21" customHeight="1">
      <c r="F450" s="789" t="s">
        <v>444</v>
      </c>
      <c r="G450" s="789"/>
    </row>
    <row r="451" spans="5:7" ht="21" customHeight="1">
      <c r="E451" s="756" t="s">
        <v>430</v>
      </c>
      <c r="F451" s="756"/>
      <c r="G451" s="756"/>
    </row>
    <row r="452" spans="1:7" ht="21" customHeight="1">
      <c r="A452" s="754" t="s">
        <v>89</v>
      </c>
      <c r="B452" s="754"/>
      <c r="C452" s="754"/>
      <c r="D452" s="754"/>
      <c r="E452" s="754"/>
      <c r="F452" s="754"/>
      <c r="G452" s="754"/>
    </row>
    <row r="453" spans="1:4" ht="21" customHeight="1" thickBot="1">
      <c r="A453" s="174" t="s">
        <v>121</v>
      </c>
      <c r="B453" s="174"/>
      <c r="C453" s="174"/>
      <c r="D453" s="223"/>
    </row>
    <row r="454" spans="1:7" ht="21" customHeight="1" thickBot="1">
      <c r="A454" s="777" t="s">
        <v>52</v>
      </c>
      <c r="B454" s="782"/>
      <c r="C454" s="782"/>
      <c r="D454" s="783"/>
      <c r="E454" s="588" t="s">
        <v>47</v>
      </c>
      <c r="F454" s="225" t="s">
        <v>9</v>
      </c>
      <c r="G454" s="226" t="s">
        <v>10</v>
      </c>
    </row>
    <row r="455" spans="1:7" ht="21" customHeight="1">
      <c r="A455" s="185" t="s">
        <v>1</v>
      </c>
      <c r="B455" s="186"/>
      <c r="C455" s="186"/>
      <c r="D455" s="186"/>
      <c r="E455" s="589" t="s">
        <v>193</v>
      </c>
      <c r="F455" s="227">
        <v>7689.28</v>
      </c>
      <c r="G455" s="228"/>
    </row>
    <row r="456" spans="1:7" ht="21" customHeight="1">
      <c r="A456" s="185"/>
      <c r="B456" s="186"/>
      <c r="C456" s="186" t="s">
        <v>360</v>
      </c>
      <c r="D456" s="186"/>
      <c r="E456" s="590" t="s">
        <v>247</v>
      </c>
      <c r="F456" s="230"/>
      <c r="G456" s="231">
        <f>SUM(F455:F455)</f>
        <v>7689.28</v>
      </c>
    </row>
    <row r="457" spans="1:7" ht="21" customHeight="1">
      <c r="A457" s="232"/>
      <c r="B457" s="233"/>
      <c r="C457" s="233"/>
      <c r="D457" s="233"/>
      <c r="E457" s="590"/>
      <c r="F457" s="230"/>
      <c r="G457" s="231"/>
    </row>
    <row r="458" spans="1:7" ht="21" customHeight="1">
      <c r="A458" s="232"/>
      <c r="B458" s="233"/>
      <c r="C458" s="233"/>
      <c r="D458" s="233"/>
      <c r="E458" s="590"/>
      <c r="F458" s="230"/>
      <c r="G458" s="231"/>
    </row>
    <row r="459" spans="1:7" ht="21" customHeight="1">
      <c r="A459" s="232"/>
      <c r="B459" s="233"/>
      <c r="C459" s="233"/>
      <c r="D459" s="233"/>
      <c r="E459" s="590"/>
      <c r="F459" s="230"/>
      <c r="G459" s="231"/>
    </row>
    <row r="460" spans="1:7" ht="21" customHeight="1">
      <c r="A460" s="232"/>
      <c r="B460" s="233"/>
      <c r="C460" s="233"/>
      <c r="D460" s="233"/>
      <c r="E460" s="590"/>
      <c r="F460" s="230"/>
      <c r="G460" s="231"/>
    </row>
    <row r="461" spans="1:7" ht="21" customHeight="1">
      <c r="A461" s="232"/>
      <c r="B461" s="233"/>
      <c r="C461" s="233"/>
      <c r="D461" s="233"/>
      <c r="E461" s="590"/>
      <c r="F461" s="234"/>
      <c r="G461" s="231"/>
    </row>
    <row r="462" spans="1:7" ht="21" customHeight="1">
      <c r="A462" s="232"/>
      <c r="B462" s="233"/>
      <c r="C462" s="233"/>
      <c r="D462" s="233"/>
      <c r="E462" s="590"/>
      <c r="F462" s="234"/>
      <c r="G462" s="231"/>
    </row>
    <row r="463" spans="1:7" ht="21.75" customHeight="1" thickBot="1">
      <c r="A463" s="235"/>
      <c r="B463" s="236"/>
      <c r="C463" s="236"/>
      <c r="D463" s="237"/>
      <c r="E463" s="591"/>
      <c r="F463" s="238">
        <f>SUM(F455:F456)</f>
        <v>7689.28</v>
      </c>
      <c r="G463" s="239">
        <f>SUM(G456:G456)</f>
        <v>7689.28</v>
      </c>
    </row>
    <row r="464" spans="1:7" ht="19.5" customHeight="1" thickTop="1">
      <c r="A464" s="217" t="s">
        <v>90</v>
      </c>
      <c r="B464" s="240" t="s">
        <v>445</v>
      </c>
      <c r="C464" s="241"/>
      <c r="D464" s="242"/>
      <c r="E464" s="532"/>
      <c r="F464" s="552"/>
      <c r="G464" s="550"/>
    </row>
    <row r="465" spans="1:7" ht="19.5" customHeight="1">
      <c r="A465" s="244"/>
      <c r="B465" s="240"/>
      <c r="C465" s="241"/>
      <c r="D465" s="242"/>
      <c r="E465" s="532"/>
      <c r="F465" s="171"/>
      <c r="G465" s="243"/>
    </row>
    <row r="466" spans="1:7" ht="19.5" customHeight="1">
      <c r="A466" s="245">
        <v>1</v>
      </c>
      <c r="B466" s="540" t="s">
        <v>446</v>
      </c>
      <c r="C466" s="540"/>
      <c r="D466" s="170" t="s">
        <v>46</v>
      </c>
      <c r="E466" s="532">
        <v>7689.28</v>
      </c>
      <c r="F466" s="171" t="s">
        <v>30</v>
      </c>
      <c r="G466" s="243"/>
    </row>
    <row r="467" spans="1:7" ht="19.5" customHeight="1">
      <c r="A467" s="245"/>
      <c r="B467" s="246" t="s">
        <v>447</v>
      </c>
      <c r="C467" s="246"/>
      <c r="D467" s="170"/>
      <c r="E467" s="532"/>
      <c r="F467" s="171"/>
      <c r="G467" s="243"/>
    </row>
    <row r="468" spans="1:7" ht="19.5" customHeight="1">
      <c r="A468" s="245"/>
      <c r="B468" s="240"/>
      <c r="C468" s="247"/>
      <c r="D468" s="170"/>
      <c r="E468" s="537"/>
      <c r="F468" s="171"/>
      <c r="G468" s="243"/>
    </row>
    <row r="469" spans="1:7" ht="19.5" customHeight="1">
      <c r="A469" s="245"/>
      <c r="B469" s="254"/>
      <c r="C469" s="805"/>
      <c r="D469" s="805"/>
      <c r="E469" s="533"/>
      <c r="F469" s="171"/>
      <c r="G469" s="243"/>
    </row>
    <row r="470" spans="1:7" ht="19.5" customHeight="1">
      <c r="A470" s="245"/>
      <c r="B470" s="254"/>
      <c r="C470" s="796"/>
      <c r="D470" s="796"/>
      <c r="E470" s="533"/>
      <c r="F470" s="171"/>
      <c r="G470" s="243"/>
    </row>
    <row r="471" spans="1:7" ht="19.5" customHeight="1">
      <c r="A471" s="245"/>
      <c r="B471" s="254"/>
      <c r="C471" s="240"/>
      <c r="D471" s="247"/>
      <c r="E471" s="533"/>
      <c r="F471" s="248"/>
      <c r="G471" s="243"/>
    </row>
    <row r="472" spans="1:7" ht="19.5" customHeight="1">
      <c r="A472" s="245"/>
      <c r="B472" s="254"/>
      <c r="C472" s="250"/>
      <c r="D472" s="250"/>
      <c r="E472" s="533"/>
      <c r="F472" s="248"/>
      <c r="G472" s="243"/>
    </row>
    <row r="473" spans="1:7" ht="19.5" customHeight="1">
      <c r="A473" s="245"/>
      <c r="B473" s="254"/>
      <c r="C473" s="250"/>
      <c r="D473" s="250"/>
      <c r="E473" s="533"/>
      <c r="F473" s="248"/>
      <c r="G473" s="243"/>
    </row>
    <row r="474" spans="1:7" ht="19.5" customHeight="1">
      <c r="A474" s="245"/>
      <c r="B474" s="254"/>
      <c r="C474" s="250"/>
      <c r="D474" s="250"/>
      <c r="E474" s="533"/>
      <c r="F474" s="248"/>
      <c r="G474" s="243"/>
    </row>
    <row r="475" spans="1:7" ht="19.5" customHeight="1">
      <c r="A475" s="245"/>
      <c r="B475" s="254"/>
      <c r="C475" s="250"/>
      <c r="D475" s="250"/>
      <c r="E475" s="533"/>
      <c r="F475" s="248"/>
      <c r="G475" s="243"/>
    </row>
    <row r="476" spans="1:7" ht="19.5" customHeight="1">
      <c r="A476" s="245"/>
      <c r="B476" s="254"/>
      <c r="C476" s="250"/>
      <c r="D476" s="250"/>
      <c r="E476" s="533"/>
      <c r="F476" s="248"/>
      <c r="G476" s="243"/>
    </row>
    <row r="477" spans="1:7" ht="19.5" customHeight="1">
      <c r="A477" s="245"/>
      <c r="B477" s="254"/>
      <c r="C477" s="250"/>
      <c r="D477" s="250"/>
      <c r="E477" s="533"/>
      <c r="F477" s="248"/>
      <c r="G477" s="243"/>
    </row>
    <row r="478" spans="1:7" ht="19.5" customHeight="1" thickBot="1">
      <c r="A478" s="251"/>
      <c r="B478" s="496"/>
      <c r="C478" s="648"/>
      <c r="D478" s="252"/>
      <c r="E478" s="593"/>
      <c r="F478" s="252"/>
      <c r="G478" s="253"/>
    </row>
    <row r="479" spans="1:7" ht="16.5" customHeight="1">
      <c r="A479" s="254"/>
      <c r="B479" s="254"/>
      <c r="C479" s="240"/>
      <c r="D479" s="255"/>
      <c r="E479" s="592"/>
      <c r="F479" s="255"/>
      <c r="G479" s="171"/>
    </row>
    <row r="480" spans="1:7" ht="27" customHeight="1">
      <c r="A480" s="254"/>
      <c r="B480" s="254"/>
      <c r="C480" s="159"/>
      <c r="D480" s="171"/>
      <c r="E480" s="539" t="s">
        <v>265</v>
      </c>
      <c r="F480" s="159"/>
      <c r="G480" s="171"/>
    </row>
    <row r="481" spans="1:7" ht="27" customHeight="1">
      <c r="A481" s="254"/>
      <c r="B481" s="254"/>
      <c r="C481" s="159"/>
      <c r="D481" s="171"/>
      <c r="E481" s="750" t="s">
        <v>169</v>
      </c>
      <c r="F481" s="750"/>
      <c r="G481" s="171"/>
    </row>
    <row r="482" spans="1:7" ht="23.25" customHeight="1">
      <c r="A482" s="254"/>
      <c r="B482" s="254"/>
      <c r="C482" s="159"/>
      <c r="D482" s="750" t="s">
        <v>376</v>
      </c>
      <c r="E482" s="750"/>
      <c r="F482" s="750"/>
      <c r="G482" s="750"/>
    </row>
    <row r="483" spans="1:7" ht="21" customHeight="1">
      <c r="A483" s="254"/>
      <c r="B483" s="254"/>
      <c r="C483" s="159"/>
      <c r="D483" s="171"/>
      <c r="E483" s="533"/>
      <c r="F483" s="171"/>
      <c r="G483" s="171"/>
    </row>
    <row r="484" spans="1:7" ht="16.5" customHeight="1">
      <c r="A484" s="254"/>
      <c r="B484" s="254"/>
      <c r="C484" s="159"/>
      <c r="D484" s="171"/>
      <c r="E484" s="796" t="s">
        <v>264</v>
      </c>
      <c r="F484" s="796"/>
      <c r="G484" s="171"/>
    </row>
    <row r="485" spans="1:7" ht="21" customHeight="1">
      <c r="A485" s="254"/>
      <c r="B485" s="254"/>
      <c r="C485" s="159"/>
      <c r="D485" s="256"/>
      <c r="E485" s="533"/>
      <c r="F485" s="255"/>
      <c r="G485" s="171"/>
    </row>
    <row r="486" spans="1:7" ht="24.75" customHeight="1">
      <c r="A486" s="254"/>
      <c r="B486" s="254"/>
      <c r="C486" s="159"/>
      <c r="D486" s="171"/>
      <c r="E486" s="539" t="s">
        <v>266</v>
      </c>
      <c r="F486" s="159"/>
      <c r="G486" s="171"/>
    </row>
    <row r="487" spans="1:8" ht="30" customHeight="1">
      <c r="A487" s="254"/>
      <c r="B487" s="254"/>
      <c r="C487" s="257"/>
      <c r="D487" s="171"/>
      <c r="E487" s="796" t="s">
        <v>402</v>
      </c>
      <c r="F487" s="796"/>
      <c r="G487" s="796"/>
      <c r="H487" s="796"/>
    </row>
    <row r="488" spans="1:7" ht="30" customHeight="1">
      <c r="A488" s="254"/>
      <c r="B488" s="254"/>
      <c r="C488" s="240"/>
      <c r="D488" s="806" t="s">
        <v>403</v>
      </c>
      <c r="E488" s="806"/>
      <c r="F488" s="806"/>
      <c r="G488" s="806"/>
    </row>
    <row r="489" spans="6:7" ht="21" customHeight="1">
      <c r="F489" s="789" t="s">
        <v>514</v>
      </c>
      <c r="G489" s="789"/>
    </row>
    <row r="490" spans="5:7" ht="21" customHeight="1">
      <c r="E490" s="756" t="s">
        <v>448</v>
      </c>
      <c r="F490" s="756"/>
      <c r="G490" s="756"/>
    </row>
    <row r="491" spans="1:7" ht="21" customHeight="1">
      <c r="A491" s="754" t="s">
        <v>89</v>
      </c>
      <c r="B491" s="754"/>
      <c r="C491" s="754"/>
      <c r="D491" s="754"/>
      <c r="E491" s="754"/>
      <c r="F491" s="754"/>
      <c r="G491" s="754"/>
    </row>
    <row r="492" spans="1:4" ht="21" customHeight="1" thickBot="1">
      <c r="A492" s="174" t="s">
        <v>121</v>
      </c>
      <c r="B492" s="174"/>
      <c r="C492" s="174"/>
      <c r="D492" s="223"/>
    </row>
    <row r="493" spans="1:7" ht="21" customHeight="1" thickBot="1">
      <c r="A493" s="777" t="s">
        <v>52</v>
      </c>
      <c r="B493" s="782"/>
      <c r="C493" s="782"/>
      <c r="D493" s="783"/>
      <c r="E493" s="588" t="s">
        <v>47</v>
      </c>
      <c r="F493" s="225" t="s">
        <v>9</v>
      </c>
      <c r="G493" s="226" t="s">
        <v>10</v>
      </c>
    </row>
    <row r="494" spans="1:7" ht="21" customHeight="1">
      <c r="A494" s="185" t="s">
        <v>6</v>
      </c>
      <c r="B494" s="186"/>
      <c r="C494" s="186"/>
      <c r="D494" s="186"/>
      <c r="E494" s="589" t="s">
        <v>191</v>
      </c>
      <c r="F494" s="227">
        <v>4800</v>
      </c>
      <c r="G494" s="228"/>
    </row>
    <row r="495" spans="1:7" ht="21" customHeight="1">
      <c r="A495" s="185"/>
      <c r="B495" s="186"/>
      <c r="C495" s="186" t="s">
        <v>366</v>
      </c>
      <c r="D495" s="186"/>
      <c r="E495" s="590" t="s">
        <v>357</v>
      </c>
      <c r="F495" s="230"/>
      <c r="G495" s="231">
        <f>SUM(F494:F494)</f>
        <v>4800</v>
      </c>
    </row>
    <row r="496" spans="1:7" ht="21" customHeight="1">
      <c r="A496" s="232"/>
      <c r="B496" s="233"/>
      <c r="C496" s="233"/>
      <c r="D496" s="233"/>
      <c r="E496" s="590"/>
      <c r="F496" s="234"/>
      <c r="G496" s="231"/>
    </row>
    <row r="497" spans="1:7" ht="21" customHeight="1">
      <c r="A497" s="232"/>
      <c r="B497" s="233"/>
      <c r="C497" s="233"/>
      <c r="D497" s="233"/>
      <c r="E497" s="590"/>
      <c r="F497" s="234"/>
      <c r="G497" s="231"/>
    </row>
    <row r="498" spans="1:7" ht="21" customHeight="1">
      <c r="A498" s="232"/>
      <c r="B498" s="233"/>
      <c r="C498" s="233"/>
      <c r="D498" s="233"/>
      <c r="E498" s="590"/>
      <c r="F498" s="234"/>
      <c r="G498" s="231"/>
    </row>
    <row r="499" spans="1:7" ht="21" customHeight="1">
      <c r="A499" s="232"/>
      <c r="B499" s="233"/>
      <c r="C499" s="233"/>
      <c r="D499" s="233"/>
      <c r="E499" s="590"/>
      <c r="F499" s="234"/>
      <c r="G499" s="231"/>
    </row>
    <row r="500" spans="1:7" ht="21" customHeight="1">
      <c r="A500" s="232"/>
      <c r="B500" s="233"/>
      <c r="C500" s="233"/>
      <c r="D500" s="233"/>
      <c r="E500" s="590"/>
      <c r="F500" s="234"/>
      <c r="G500" s="231"/>
    </row>
    <row r="501" spans="1:7" ht="21.75" customHeight="1">
      <c r="A501" s="232"/>
      <c r="B501" s="233"/>
      <c r="C501" s="233"/>
      <c r="D501" s="233"/>
      <c r="E501" s="590"/>
      <c r="F501" s="234"/>
      <c r="G501" s="231"/>
    </row>
    <row r="502" spans="1:7" ht="21.75" customHeight="1">
      <c r="A502" s="232"/>
      <c r="B502" s="233"/>
      <c r="C502" s="233"/>
      <c r="D502" s="233"/>
      <c r="E502" s="596"/>
      <c r="F502" s="258"/>
      <c r="G502" s="259"/>
    </row>
    <row r="503" spans="1:7" ht="21.75" customHeight="1" thickBot="1">
      <c r="A503" s="235"/>
      <c r="B503" s="236"/>
      <c r="C503" s="236"/>
      <c r="D503" s="237"/>
      <c r="E503" s="591"/>
      <c r="F503" s="238">
        <f>SUM(F494:F495)</f>
        <v>4800</v>
      </c>
      <c r="G503" s="239">
        <f>SUM(G495:G495)</f>
        <v>4800</v>
      </c>
    </row>
    <row r="504" spans="1:7" ht="21.75" customHeight="1" thickTop="1">
      <c r="A504" s="217" t="s">
        <v>90</v>
      </c>
      <c r="B504" s="240" t="s">
        <v>367</v>
      </c>
      <c r="C504" s="545"/>
      <c r="D504" s="241"/>
      <c r="E504" s="594"/>
      <c r="F504" s="241"/>
      <c r="G504" s="243"/>
    </row>
    <row r="505" spans="1:7" ht="21.75" customHeight="1">
      <c r="A505" s="217"/>
      <c r="B505" s="545"/>
      <c r="C505" s="240"/>
      <c r="D505" s="241"/>
      <c r="E505" s="594"/>
      <c r="F505" s="241"/>
      <c r="G505" s="243"/>
    </row>
    <row r="506" spans="1:7" ht="21.75" customHeight="1">
      <c r="A506" s="244"/>
      <c r="B506" s="546"/>
      <c r="C506" s="240"/>
      <c r="D506" s="241"/>
      <c r="E506" s="594"/>
      <c r="F506" s="241"/>
      <c r="G506" s="243"/>
    </row>
    <row r="507" spans="1:7" ht="21.75" customHeight="1">
      <c r="A507" s="245"/>
      <c r="B507" s="254"/>
      <c r="C507" s="240"/>
      <c r="D507" s="249"/>
      <c r="E507" s="533"/>
      <c r="F507" s="171"/>
      <c r="G507" s="243"/>
    </row>
    <row r="508" spans="1:7" ht="21.75" customHeight="1">
      <c r="A508" s="245"/>
      <c r="B508" s="254"/>
      <c r="C508" s="805"/>
      <c r="D508" s="805"/>
      <c r="E508" s="533"/>
      <c r="F508" s="171"/>
      <c r="G508" s="243"/>
    </row>
    <row r="509" spans="1:7" ht="21.75" customHeight="1">
      <c r="A509" s="245"/>
      <c r="B509" s="254"/>
      <c r="C509" s="805"/>
      <c r="D509" s="805"/>
      <c r="E509" s="533"/>
      <c r="F509" s="171"/>
      <c r="G509" s="243"/>
    </row>
    <row r="510" spans="1:7" ht="21.75" customHeight="1">
      <c r="A510" s="245"/>
      <c r="B510" s="254"/>
      <c r="C510" s="807"/>
      <c r="D510" s="807"/>
      <c r="E510" s="533"/>
      <c r="F510" s="171"/>
      <c r="G510" s="243"/>
    </row>
    <row r="511" spans="1:7" ht="21.75" customHeight="1">
      <c r="A511" s="245"/>
      <c r="B511" s="254"/>
      <c r="C511" s="805"/>
      <c r="D511" s="805"/>
      <c r="E511" s="533"/>
      <c r="F511" s="171"/>
      <c r="G511" s="243"/>
    </row>
    <row r="512" spans="1:7" ht="21.75" customHeight="1">
      <c r="A512" s="245"/>
      <c r="B512" s="254"/>
      <c r="C512" s="805"/>
      <c r="D512" s="805"/>
      <c r="E512" s="533"/>
      <c r="F512" s="171"/>
      <c r="G512" s="243"/>
    </row>
    <row r="513" spans="1:7" ht="21.75" customHeight="1">
      <c r="A513" s="245"/>
      <c r="B513" s="254"/>
      <c r="C513" s="805"/>
      <c r="D513" s="805"/>
      <c r="E513" s="533"/>
      <c r="F513" s="171"/>
      <c r="G513" s="243"/>
    </row>
    <row r="514" spans="1:7" ht="21.75" customHeight="1" thickBot="1">
      <c r="A514" s="251"/>
      <c r="B514" s="496"/>
      <c r="C514" s="648"/>
      <c r="D514" s="252"/>
      <c r="E514" s="593"/>
      <c r="F514" s="252"/>
      <c r="G514" s="253"/>
    </row>
    <row r="515" spans="1:7" ht="16.5" customHeight="1">
      <c r="A515" s="260"/>
      <c r="B515" s="260"/>
      <c r="C515" s="601"/>
      <c r="D515" s="261"/>
      <c r="E515" s="597"/>
      <c r="F515" s="261"/>
      <c r="G515" s="262"/>
    </row>
    <row r="516" spans="1:7" ht="27" customHeight="1">
      <c r="A516" s="254"/>
      <c r="B516" s="254"/>
      <c r="C516" s="159"/>
      <c r="D516" s="171"/>
      <c r="E516" s="539" t="s">
        <v>265</v>
      </c>
      <c r="F516" s="159"/>
      <c r="G516" s="171"/>
    </row>
    <row r="517" spans="1:7" ht="27" customHeight="1">
      <c r="A517" s="254"/>
      <c r="B517" s="254"/>
      <c r="C517" s="159"/>
      <c r="D517" s="171"/>
      <c r="E517" s="750" t="s">
        <v>169</v>
      </c>
      <c r="F517" s="750"/>
      <c r="G517" s="171"/>
    </row>
    <row r="518" spans="1:7" ht="25.5" customHeight="1">
      <c r="A518" s="254"/>
      <c r="B518" s="254"/>
      <c r="C518" s="159"/>
      <c r="D518" s="750" t="s">
        <v>377</v>
      </c>
      <c r="E518" s="750"/>
      <c r="F518" s="750"/>
      <c r="G518" s="750"/>
    </row>
    <row r="519" spans="1:7" ht="21" customHeight="1">
      <c r="A519" s="254"/>
      <c r="B519" s="254"/>
      <c r="C519" s="159"/>
      <c r="D519" s="171"/>
      <c r="E519" s="533"/>
      <c r="F519" s="171"/>
      <c r="G519" s="171"/>
    </row>
    <row r="520" spans="1:7" ht="19.5" customHeight="1">
      <c r="A520" s="254"/>
      <c r="B520" s="254"/>
      <c r="C520" s="159"/>
      <c r="D520" s="171"/>
      <c r="E520" s="796" t="s">
        <v>264</v>
      </c>
      <c r="F520" s="796"/>
      <c r="G520" s="171"/>
    </row>
    <row r="521" spans="1:7" ht="21" customHeight="1">
      <c r="A521" s="254"/>
      <c r="B521" s="254"/>
      <c r="C521" s="159"/>
      <c r="D521" s="256"/>
      <c r="E521" s="533"/>
      <c r="F521" s="255"/>
      <c r="G521" s="171"/>
    </row>
    <row r="522" spans="1:7" ht="24.75" customHeight="1">
      <c r="A522" s="254"/>
      <c r="B522" s="254"/>
      <c r="C522" s="159"/>
      <c r="D522" s="171"/>
      <c r="E522" s="539" t="s">
        <v>266</v>
      </c>
      <c r="F522" s="159"/>
      <c r="G522" s="171"/>
    </row>
    <row r="523" spans="1:8" ht="30" customHeight="1">
      <c r="A523" s="254"/>
      <c r="B523" s="254"/>
      <c r="C523" s="257"/>
      <c r="D523" s="171"/>
      <c r="E523" s="796" t="s">
        <v>402</v>
      </c>
      <c r="F523" s="796"/>
      <c r="G523" s="796"/>
      <c r="H523" s="796"/>
    </row>
    <row r="524" spans="1:7" ht="30" customHeight="1">
      <c r="A524" s="254"/>
      <c r="B524" s="254"/>
      <c r="C524" s="240"/>
      <c r="D524" s="806" t="s">
        <v>403</v>
      </c>
      <c r="E524" s="806"/>
      <c r="F524" s="806"/>
      <c r="G524" s="806"/>
    </row>
    <row r="525" spans="1:7" ht="30" customHeight="1">
      <c r="A525" s="254"/>
      <c r="B525" s="254"/>
      <c r="C525" s="240"/>
      <c r="D525" s="172"/>
      <c r="E525" s="598"/>
      <c r="F525" s="172"/>
      <c r="G525" s="172"/>
    </row>
    <row r="526" spans="6:7" ht="21" customHeight="1">
      <c r="F526" s="789" t="s">
        <v>450</v>
      </c>
      <c r="G526" s="789"/>
    </row>
    <row r="527" spans="5:7" ht="21" customHeight="1">
      <c r="E527" s="756" t="s">
        <v>448</v>
      </c>
      <c r="F527" s="756"/>
      <c r="G527" s="756"/>
    </row>
    <row r="528" spans="1:7" ht="21" customHeight="1">
      <c r="A528" s="754" t="s">
        <v>89</v>
      </c>
      <c r="B528" s="754"/>
      <c r="C528" s="754"/>
      <c r="D528" s="754"/>
      <c r="E528" s="754"/>
      <c r="F528" s="754"/>
      <c r="G528" s="754"/>
    </row>
    <row r="529" spans="1:4" ht="21" customHeight="1" thickBot="1">
      <c r="A529" s="174" t="s">
        <v>121</v>
      </c>
      <c r="B529" s="174"/>
      <c r="C529" s="174"/>
      <c r="D529" s="223"/>
    </row>
    <row r="530" spans="1:7" ht="21" customHeight="1" thickBot="1">
      <c r="A530" s="777" t="s">
        <v>52</v>
      </c>
      <c r="B530" s="782"/>
      <c r="C530" s="782"/>
      <c r="D530" s="783"/>
      <c r="E530" s="588" t="s">
        <v>47</v>
      </c>
      <c r="F530" s="225" t="s">
        <v>9</v>
      </c>
      <c r="G530" s="226" t="s">
        <v>10</v>
      </c>
    </row>
    <row r="531" spans="1:7" ht="21" customHeight="1">
      <c r="A531" s="185" t="s">
        <v>6</v>
      </c>
      <c r="B531" s="186"/>
      <c r="C531" s="186"/>
      <c r="D531" s="186"/>
      <c r="E531" s="589" t="s">
        <v>454</v>
      </c>
      <c r="F531" s="227">
        <v>1485</v>
      </c>
      <c r="G531" s="228"/>
    </row>
    <row r="532" spans="1:7" ht="21" customHeight="1">
      <c r="A532" s="185"/>
      <c r="B532" s="186"/>
      <c r="C532" s="186" t="s">
        <v>11</v>
      </c>
      <c r="D532" s="186"/>
      <c r="E532" s="590" t="s">
        <v>393</v>
      </c>
      <c r="F532" s="230" t="s">
        <v>405</v>
      </c>
      <c r="G532" s="231">
        <f>SUM(F531:F531)</f>
        <v>1485</v>
      </c>
    </row>
    <row r="533" spans="1:7" ht="21" customHeight="1">
      <c r="A533" s="232"/>
      <c r="B533" s="233"/>
      <c r="C533" s="233"/>
      <c r="D533" s="233"/>
      <c r="E533" s="590"/>
      <c r="F533" s="234"/>
      <c r="G533" s="231"/>
    </row>
    <row r="534" spans="1:7" ht="21" customHeight="1">
      <c r="A534" s="232"/>
      <c r="B534" s="233"/>
      <c r="C534" s="233"/>
      <c r="D534" s="233"/>
      <c r="E534" s="590"/>
      <c r="F534" s="234"/>
      <c r="G534" s="231"/>
    </row>
    <row r="535" spans="1:7" ht="21" customHeight="1">
      <c r="A535" s="232"/>
      <c r="B535" s="233"/>
      <c r="C535" s="233"/>
      <c r="D535" s="233"/>
      <c r="E535" s="590"/>
      <c r="F535" s="234"/>
      <c r="G535" s="231"/>
    </row>
    <row r="536" spans="1:7" ht="21" customHeight="1">
      <c r="A536" s="232"/>
      <c r="B536" s="233"/>
      <c r="C536" s="233"/>
      <c r="D536" s="233"/>
      <c r="E536" s="590"/>
      <c r="F536" s="234"/>
      <c r="G536" s="231"/>
    </row>
    <row r="537" spans="1:7" ht="21" customHeight="1">
      <c r="A537" s="232"/>
      <c r="B537" s="233"/>
      <c r="C537" s="233"/>
      <c r="D537" s="233"/>
      <c r="E537" s="590"/>
      <c r="F537" s="234"/>
      <c r="G537" s="231"/>
    </row>
    <row r="538" spans="1:7" ht="21.75" customHeight="1">
      <c r="A538" s="232"/>
      <c r="B538" s="233"/>
      <c r="C538" s="233"/>
      <c r="D538" s="233"/>
      <c r="E538" s="590"/>
      <c r="F538" s="234"/>
      <c r="G538" s="231"/>
    </row>
    <row r="539" spans="1:7" ht="21.75" customHeight="1">
      <c r="A539" s="232"/>
      <c r="B539" s="233"/>
      <c r="C539" s="233"/>
      <c r="D539" s="233"/>
      <c r="E539" s="596"/>
      <c r="F539" s="258"/>
      <c r="G539" s="259"/>
    </row>
    <row r="540" spans="1:7" ht="21.75" customHeight="1" thickBot="1">
      <c r="A540" s="235"/>
      <c r="B540" s="236"/>
      <c r="C540" s="236"/>
      <c r="D540" s="237"/>
      <c r="E540" s="591"/>
      <c r="F540" s="238">
        <f>SUM(F531:F532)</f>
        <v>1485</v>
      </c>
      <c r="G540" s="239">
        <f>SUM(G532:G532)</f>
        <v>1485</v>
      </c>
    </row>
    <row r="541" spans="1:7" ht="21.75" customHeight="1" thickTop="1">
      <c r="A541" s="217" t="s">
        <v>90</v>
      </c>
      <c r="B541" s="240" t="s">
        <v>449</v>
      </c>
      <c r="C541" s="241"/>
      <c r="D541" s="242"/>
      <c r="F541" s="241"/>
      <c r="G541" s="243"/>
    </row>
    <row r="542" spans="1:7" ht="21.75" customHeight="1">
      <c r="A542" s="217"/>
      <c r="B542" s="545"/>
      <c r="C542" s="240"/>
      <c r="D542" s="241"/>
      <c r="E542" s="594"/>
      <c r="F542" s="241"/>
      <c r="G542" s="243"/>
    </row>
    <row r="543" spans="1:7" ht="21.75" customHeight="1">
      <c r="A543" s="244"/>
      <c r="B543" s="546"/>
      <c r="C543" s="240"/>
      <c r="D543" s="241"/>
      <c r="E543" s="594"/>
      <c r="F543" s="241"/>
      <c r="G543" s="243"/>
    </row>
    <row r="544" spans="1:7" ht="21.75" customHeight="1">
      <c r="A544" s="245"/>
      <c r="B544" s="254"/>
      <c r="C544" s="240"/>
      <c r="D544" s="249"/>
      <c r="E544" s="533"/>
      <c r="F544" s="171"/>
      <c r="G544" s="243"/>
    </row>
    <row r="545" spans="1:7" ht="21.75" customHeight="1">
      <c r="A545" s="245"/>
      <c r="B545" s="254"/>
      <c r="C545" s="805"/>
      <c r="D545" s="805"/>
      <c r="E545" s="533"/>
      <c r="F545" s="171"/>
      <c r="G545" s="243"/>
    </row>
    <row r="546" spans="1:7" ht="21.75" customHeight="1">
      <c r="A546" s="245"/>
      <c r="B546" s="254"/>
      <c r="C546" s="805"/>
      <c r="D546" s="805"/>
      <c r="E546" s="533"/>
      <c r="F546" s="171"/>
      <c r="G546" s="243"/>
    </row>
    <row r="547" spans="1:7" ht="21.75" customHeight="1">
      <c r="A547" s="245"/>
      <c r="B547" s="254"/>
      <c r="C547" s="807"/>
      <c r="D547" s="807"/>
      <c r="E547" s="533"/>
      <c r="F547" s="171"/>
      <c r="G547" s="243"/>
    </row>
    <row r="548" spans="1:7" ht="21.75" customHeight="1">
      <c r="A548" s="245"/>
      <c r="B548" s="254"/>
      <c r="C548" s="805"/>
      <c r="D548" s="805"/>
      <c r="E548" s="533"/>
      <c r="F548" s="171"/>
      <c r="G548" s="243"/>
    </row>
    <row r="549" spans="1:7" ht="21.75" customHeight="1">
      <c r="A549" s="245"/>
      <c r="B549" s="254"/>
      <c r="C549" s="805"/>
      <c r="D549" s="805"/>
      <c r="E549" s="533"/>
      <c r="F549" s="171"/>
      <c r="G549" s="243"/>
    </row>
    <row r="550" spans="1:7" ht="21.75" customHeight="1">
      <c r="A550" s="245"/>
      <c r="B550" s="254"/>
      <c r="C550" s="805"/>
      <c r="D550" s="805"/>
      <c r="E550" s="533"/>
      <c r="F550" s="171"/>
      <c r="G550" s="243"/>
    </row>
    <row r="551" spans="1:7" ht="21.75" customHeight="1" thickBot="1">
      <c r="A551" s="251"/>
      <c r="B551" s="496"/>
      <c r="C551" s="648"/>
      <c r="D551" s="252"/>
      <c r="E551" s="593"/>
      <c r="F551" s="252"/>
      <c r="G551" s="253"/>
    </row>
    <row r="552" spans="1:7" ht="16.5" customHeight="1">
      <c r="A552" s="260"/>
      <c r="B552" s="260"/>
      <c r="C552" s="601"/>
      <c r="D552" s="261"/>
      <c r="E552" s="597"/>
      <c r="F552" s="261"/>
      <c r="G552" s="262"/>
    </row>
    <row r="553" spans="1:7" ht="27" customHeight="1">
      <c r="A553" s="254"/>
      <c r="B553" s="254"/>
      <c r="C553" s="159"/>
      <c r="D553" s="171"/>
      <c r="E553" s="539" t="s">
        <v>265</v>
      </c>
      <c r="F553" s="159"/>
      <c r="G553" s="171"/>
    </row>
    <row r="554" spans="1:7" ht="27" customHeight="1">
      <c r="A554" s="254"/>
      <c r="B554" s="254"/>
      <c r="C554" s="159"/>
      <c r="D554" s="171"/>
      <c r="E554" s="750" t="s">
        <v>169</v>
      </c>
      <c r="F554" s="750"/>
      <c r="G554" s="171"/>
    </row>
    <row r="555" spans="1:7" ht="25.5" customHeight="1">
      <c r="A555" s="254"/>
      <c r="B555" s="254"/>
      <c r="C555" s="159"/>
      <c r="D555" s="750" t="s">
        <v>377</v>
      </c>
      <c r="E555" s="750"/>
      <c r="F555" s="750"/>
      <c r="G555" s="750"/>
    </row>
    <row r="556" spans="1:7" ht="21" customHeight="1">
      <c r="A556" s="254"/>
      <c r="B556" s="254"/>
      <c r="C556" s="159"/>
      <c r="D556" s="171"/>
      <c r="E556" s="533"/>
      <c r="F556" s="171"/>
      <c r="G556" s="171"/>
    </row>
    <row r="557" spans="1:7" ht="19.5" customHeight="1">
      <c r="A557" s="254"/>
      <c r="B557" s="254"/>
      <c r="C557" s="159"/>
      <c r="D557" s="171"/>
      <c r="E557" s="796" t="s">
        <v>264</v>
      </c>
      <c r="F557" s="796"/>
      <c r="G557" s="171"/>
    </row>
    <row r="558" spans="1:7" ht="21" customHeight="1">
      <c r="A558" s="254"/>
      <c r="B558" s="254"/>
      <c r="C558" s="159"/>
      <c r="D558" s="256"/>
      <c r="E558" s="533"/>
      <c r="F558" s="255"/>
      <c r="G558" s="171"/>
    </row>
    <row r="559" spans="1:7" ht="24.75" customHeight="1">
      <c r="A559" s="254"/>
      <c r="B559" s="254"/>
      <c r="C559" s="159"/>
      <c r="D559" s="171"/>
      <c r="E559" s="539" t="s">
        <v>266</v>
      </c>
      <c r="F559" s="159"/>
      <c r="G559" s="171"/>
    </row>
    <row r="560" spans="1:8" ht="30" customHeight="1">
      <c r="A560" s="254"/>
      <c r="B560" s="254"/>
      <c r="C560" s="257"/>
      <c r="D560" s="171"/>
      <c r="E560" s="796" t="s">
        <v>402</v>
      </c>
      <c r="F560" s="796"/>
      <c r="G560" s="796"/>
      <c r="H560" s="796"/>
    </row>
    <row r="561" spans="1:7" ht="30" customHeight="1">
      <c r="A561" s="254"/>
      <c r="B561" s="254"/>
      <c r="C561" s="240"/>
      <c r="D561" s="806" t="s">
        <v>403</v>
      </c>
      <c r="E561" s="806"/>
      <c r="F561" s="806"/>
      <c r="G561" s="806"/>
    </row>
    <row r="562" spans="1:7" ht="30" customHeight="1">
      <c r="A562" s="254"/>
      <c r="B562" s="254"/>
      <c r="C562" s="240"/>
      <c r="D562" s="172"/>
      <c r="E562" s="598"/>
      <c r="F562" s="172"/>
      <c r="G562" s="172"/>
    </row>
    <row r="563" spans="6:7" ht="21" customHeight="1">
      <c r="F563" s="789" t="s">
        <v>453</v>
      </c>
      <c r="G563" s="789"/>
    </row>
    <row r="564" spans="5:7" ht="21" customHeight="1">
      <c r="E564" s="756" t="s">
        <v>451</v>
      </c>
      <c r="F564" s="756"/>
      <c r="G564" s="756"/>
    </row>
    <row r="565" spans="1:7" ht="21" customHeight="1">
      <c r="A565" s="754" t="s">
        <v>89</v>
      </c>
      <c r="B565" s="754"/>
      <c r="C565" s="754"/>
      <c r="D565" s="754"/>
      <c r="E565" s="754"/>
      <c r="F565" s="754"/>
      <c r="G565" s="754"/>
    </row>
    <row r="566" spans="1:4" ht="21" customHeight="1" thickBot="1">
      <c r="A566" s="174" t="s">
        <v>121</v>
      </c>
      <c r="B566" s="174"/>
      <c r="C566" s="174"/>
      <c r="D566" s="223"/>
    </row>
    <row r="567" spans="1:7" ht="21" customHeight="1" thickBot="1">
      <c r="A567" s="777" t="s">
        <v>52</v>
      </c>
      <c r="B567" s="782"/>
      <c r="C567" s="782"/>
      <c r="D567" s="783"/>
      <c r="E567" s="588" t="s">
        <v>47</v>
      </c>
      <c r="F567" s="225" t="s">
        <v>9</v>
      </c>
      <c r="G567" s="226" t="s">
        <v>10</v>
      </c>
    </row>
    <row r="568" spans="1:7" ht="21" customHeight="1">
      <c r="A568" s="185" t="s">
        <v>312</v>
      </c>
      <c r="B568" s="186"/>
      <c r="C568" s="186"/>
      <c r="D568" s="186"/>
      <c r="E568" s="589" t="s">
        <v>408</v>
      </c>
      <c r="F568" s="227">
        <v>10500</v>
      </c>
      <c r="G568" s="228"/>
    </row>
    <row r="569" spans="1:7" ht="21" customHeight="1">
      <c r="A569" s="185"/>
      <c r="B569" s="186" t="s">
        <v>313</v>
      </c>
      <c r="C569" s="186"/>
      <c r="D569" s="186"/>
      <c r="E569" s="599" t="s">
        <v>409</v>
      </c>
      <c r="F569" s="230"/>
      <c r="G569" s="231">
        <f>SUM(F568:F568)</f>
        <v>10500</v>
      </c>
    </row>
    <row r="570" spans="1:7" ht="21" customHeight="1">
      <c r="A570" s="232"/>
      <c r="B570" s="233"/>
      <c r="C570" s="233"/>
      <c r="D570" s="233"/>
      <c r="E570" s="600"/>
      <c r="F570" s="234"/>
      <c r="G570" s="231"/>
    </row>
    <row r="571" spans="1:7" ht="21" customHeight="1">
      <c r="A571" s="232"/>
      <c r="B571" s="233"/>
      <c r="C571" s="233"/>
      <c r="D571" s="233"/>
      <c r="E571" s="590"/>
      <c r="F571" s="234"/>
      <c r="G571" s="231"/>
    </row>
    <row r="572" spans="1:7" ht="21" customHeight="1">
      <c r="A572" s="232"/>
      <c r="B572" s="233"/>
      <c r="C572" s="233"/>
      <c r="D572" s="233"/>
      <c r="E572" s="590"/>
      <c r="F572" s="234"/>
      <c r="G572" s="231"/>
    </row>
    <row r="573" spans="1:7" ht="21" customHeight="1">
      <c r="A573" s="232"/>
      <c r="B573" s="233"/>
      <c r="C573" s="233"/>
      <c r="D573" s="233"/>
      <c r="E573" s="590"/>
      <c r="F573" s="234"/>
      <c r="G573" s="231"/>
    </row>
    <row r="574" spans="1:7" ht="21" customHeight="1">
      <c r="A574" s="232"/>
      <c r="B574" s="233"/>
      <c r="C574" s="233"/>
      <c r="D574" s="233"/>
      <c r="E574" s="590"/>
      <c r="F574" s="234"/>
      <c r="G574" s="231"/>
    </row>
    <row r="575" spans="1:7" ht="21" customHeight="1">
      <c r="A575" s="232"/>
      <c r="B575" s="233"/>
      <c r="C575" s="233"/>
      <c r="D575" s="233"/>
      <c r="E575" s="590"/>
      <c r="F575" s="234"/>
      <c r="G575" s="231"/>
    </row>
    <row r="576" spans="1:7" ht="21" customHeight="1">
      <c r="A576" s="232"/>
      <c r="B576" s="233"/>
      <c r="C576" s="233"/>
      <c r="D576" s="233"/>
      <c r="E576" s="596"/>
      <c r="F576" s="258"/>
      <c r="G576" s="259"/>
    </row>
    <row r="577" spans="1:7" ht="21" customHeight="1" thickBot="1">
      <c r="A577" s="235"/>
      <c r="B577" s="236"/>
      <c r="C577" s="236"/>
      <c r="D577" s="237"/>
      <c r="E577" s="591"/>
      <c r="F577" s="238">
        <f>SUM(F568:F569)</f>
        <v>10500</v>
      </c>
      <c r="G577" s="239">
        <f>SUM(G569:G569)</f>
        <v>10500</v>
      </c>
    </row>
    <row r="578" spans="1:7" ht="21" customHeight="1" thickTop="1">
      <c r="A578" s="217" t="s">
        <v>90</v>
      </c>
      <c r="B578" s="240" t="s">
        <v>410</v>
      </c>
      <c r="C578" s="241"/>
      <c r="D578" s="242"/>
      <c r="E578" s="532"/>
      <c r="F578" s="171"/>
      <c r="G578" s="550"/>
    </row>
    <row r="579" spans="1:7" ht="21" customHeight="1">
      <c r="A579" s="530">
        <v>1</v>
      </c>
      <c r="B579" s="531" t="s">
        <v>452</v>
      </c>
      <c r="C579" s="532"/>
      <c r="D579" s="533" t="s">
        <v>46</v>
      </c>
      <c r="E579" s="532">
        <v>10500</v>
      </c>
      <c r="F579" s="532" t="s">
        <v>30</v>
      </c>
      <c r="G579" s="243"/>
    </row>
    <row r="580" spans="1:7" ht="21" customHeight="1">
      <c r="A580" s="535"/>
      <c r="B580" s="547"/>
      <c r="C580" s="803"/>
      <c r="D580" s="803"/>
      <c r="E580" s="533"/>
      <c r="F580" s="532"/>
      <c r="G580" s="534"/>
    </row>
    <row r="581" spans="1:7" ht="21" customHeight="1">
      <c r="A581" s="535"/>
      <c r="B581" s="547"/>
      <c r="C581" s="804"/>
      <c r="D581" s="804"/>
      <c r="E581" s="533"/>
      <c r="F581" s="532"/>
      <c r="G581" s="534"/>
    </row>
    <row r="582" spans="1:7" ht="21" customHeight="1">
      <c r="A582" s="535"/>
      <c r="B582" s="547"/>
      <c r="C582" s="531"/>
      <c r="D582" s="536"/>
      <c r="E582" s="533"/>
      <c r="F582" s="537"/>
      <c r="G582" s="534"/>
    </row>
    <row r="583" spans="1:7" ht="21" customHeight="1">
      <c r="A583" s="535"/>
      <c r="B583" s="547"/>
      <c r="C583" s="531"/>
      <c r="D583" s="538"/>
      <c r="E583" s="533"/>
      <c r="F583" s="532"/>
      <c r="G583" s="534"/>
    </row>
    <row r="584" spans="1:7" ht="21" customHeight="1">
      <c r="A584" s="535"/>
      <c r="B584" s="547"/>
      <c r="C584" s="803"/>
      <c r="D584" s="803"/>
      <c r="E584" s="533"/>
      <c r="F584" s="532"/>
      <c r="G584" s="534"/>
    </row>
    <row r="585" spans="1:7" ht="21" customHeight="1">
      <c r="A585" s="535"/>
      <c r="B585" s="547"/>
      <c r="C585" s="803"/>
      <c r="D585" s="803"/>
      <c r="E585" s="539"/>
      <c r="F585" s="532"/>
      <c r="G585" s="534"/>
    </row>
    <row r="586" spans="1:7" ht="21" customHeight="1">
      <c r="A586" s="535"/>
      <c r="B586" s="547"/>
      <c r="C586" s="803"/>
      <c r="D586" s="803"/>
      <c r="E586" s="533"/>
      <c r="F586" s="532"/>
      <c r="G586" s="534"/>
    </row>
    <row r="587" spans="1:7" ht="21" customHeight="1">
      <c r="A587" s="535"/>
      <c r="B587" s="547"/>
      <c r="C587" s="803"/>
      <c r="D587" s="803"/>
      <c r="E587" s="539"/>
      <c r="F587" s="532"/>
      <c r="G587" s="534"/>
    </row>
    <row r="588" spans="1:7" ht="21" customHeight="1">
      <c r="A588" s="535"/>
      <c r="B588" s="547"/>
      <c r="C588" s="803"/>
      <c r="D588" s="803"/>
      <c r="E588" s="539"/>
      <c r="F588" s="532"/>
      <c r="G588" s="534"/>
    </row>
    <row r="589" spans="1:7" ht="21" customHeight="1" thickBot="1">
      <c r="A589" s="251"/>
      <c r="B589" s="496"/>
      <c r="C589" s="648"/>
      <c r="D589" s="252" t="s">
        <v>70</v>
      </c>
      <c r="E589" s="593"/>
      <c r="F589" s="252"/>
      <c r="G589" s="253"/>
    </row>
    <row r="590" spans="1:7" ht="21" customHeight="1">
      <c r="A590" s="260"/>
      <c r="B590" s="260"/>
      <c r="C590" s="601"/>
      <c r="D590" s="261"/>
      <c r="E590" s="597"/>
      <c r="F590" s="261"/>
      <c r="G590" s="262"/>
    </row>
    <row r="591" spans="1:7" ht="21" customHeight="1">
      <c r="A591" s="254"/>
      <c r="B591" s="254"/>
      <c r="C591" s="159"/>
      <c r="D591" s="171"/>
      <c r="E591" s="539" t="s">
        <v>265</v>
      </c>
      <c r="F591" s="159"/>
      <c r="G591" s="171"/>
    </row>
    <row r="592" spans="1:7" ht="21" customHeight="1">
      <c r="A592" s="254"/>
      <c r="B592" s="254"/>
      <c r="C592" s="159"/>
      <c r="D592" s="171"/>
      <c r="E592" s="750" t="s">
        <v>169</v>
      </c>
      <c r="F592" s="750"/>
      <c r="G592" s="171"/>
    </row>
    <row r="593" spans="1:7" ht="21" customHeight="1">
      <c r="A593" s="254"/>
      <c r="B593" s="254"/>
      <c r="C593" s="159"/>
      <c r="D593" s="750" t="s">
        <v>377</v>
      </c>
      <c r="E593" s="750"/>
      <c r="F593" s="750"/>
      <c r="G593" s="750"/>
    </row>
    <row r="594" spans="1:7" ht="21" customHeight="1">
      <c r="A594" s="254"/>
      <c r="B594" s="254"/>
      <c r="C594" s="159"/>
      <c r="D594" s="171"/>
      <c r="E594" s="533"/>
      <c r="F594" s="171"/>
      <c r="G594" s="171"/>
    </row>
    <row r="595" spans="1:7" ht="21" customHeight="1">
      <c r="A595" s="254"/>
      <c r="B595" s="254"/>
      <c r="C595" s="159"/>
      <c r="D595" s="171"/>
      <c r="E595" s="796" t="s">
        <v>264</v>
      </c>
      <c r="F595" s="796"/>
      <c r="G595" s="171"/>
    </row>
    <row r="596" spans="1:7" ht="21" customHeight="1">
      <c r="A596" s="254"/>
      <c r="B596" s="254"/>
      <c r="C596" s="159"/>
      <c r="D596" s="256"/>
      <c r="E596" s="533"/>
      <c r="F596" s="255"/>
      <c r="G596" s="171"/>
    </row>
    <row r="597" spans="1:7" ht="21" customHeight="1">
      <c r="A597" s="254"/>
      <c r="B597" s="254"/>
      <c r="C597" s="159"/>
      <c r="D597" s="171"/>
      <c r="E597" s="539" t="s">
        <v>266</v>
      </c>
      <c r="F597" s="159"/>
      <c r="G597" s="171"/>
    </row>
    <row r="598" spans="1:7" ht="21" customHeight="1">
      <c r="A598" s="254"/>
      <c r="B598" s="254"/>
      <c r="C598" s="257"/>
      <c r="D598" s="171"/>
      <c r="E598" s="794" t="s">
        <v>402</v>
      </c>
      <c r="F598" s="794"/>
      <c r="G598" s="171"/>
    </row>
    <row r="599" spans="1:7" ht="21" customHeight="1">
      <c r="A599" s="254"/>
      <c r="B599" s="254"/>
      <c r="C599" s="240"/>
      <c r="D599" s="795" t="s">
        <v>515</v>
      </c>
      <c r="E599" s="795"/>
      <c r="F599" s="795"/>
      <c r="G599" s="795"/>
    </row>
    <row r="602" spans="6:7" ht="21" customHeight="1">
      <c r="F602" s="789" t="s">
        <v>457</v>
      </c>
      <c r="G602" s="789"/>
    </row>
    <row r="603" spans="5:7" ht="21" customHeight="1">
      <c r="E603" s="756" t="s">
        <v>451</v>
      </c>
      <c r="F603" s="756"/>
      <c r="G603" s="756"/>
    </row>
    <row r="604" spans="1:7" ht="21" customHeight="1">
      <c r="A604" s="754" t="s">
        <v>89</v>
      </c>
      <c r="B604" s="754"/>
      <c r="C604" s="754"/>
      <c r="D604" s="754"/>
      <c r="E604" s="754"/>
      <c r="F604" s="754"/>
      <c r="G604" s="754"/>
    </row>
    <row r="605" spans="1:4" ht="21" customHeight="1" thickBot="1">
      <c r="A605" s="174" t="s">
        <v>121</v>
      </c>
      <c r="B605" s="174"/>
      <c r="C605" s="174"/>
      <c r="D605" s="223"/>
    </row>
    <row r="606" spans="1:7" ht="21" customHeight="1" thickBot="1">
      <c r="A606" s="777" t="s">
        <v>52</v>
      </c>
      <c r="B606" s="782"/>
      <c r="C606" s="782"/>
      <c r="D606" s="783"/>
      <c r="E606" s="588" t="s">
        <v>47</v>
      </c>
      <c r="F606" s="225" t="s">
        <v>9</v>
      </c>
      <c r="G606" s="226" t="s">
        <v>10</v>
      </c>
    </row>
    <row r="607" spans="1:7" ht="21" customHeight="1">
      <c r="A607" s="185" t="s">
        <v>88</v>
      </c>
      <c r="B607" s="186"/>
      <c r="C607" s="186"/>
      <c r="D607" s="186"/>
      <c r="E607" s="589" t="s">
        <v>454</v>
      </c>
      <c r="F607" s="227">
        <f>SUM(G608:G610)</f>
        <v>10500</v>
      </c>
      <c r="G607" s="228"/>
    </row>
    <row r="608" spans="1:7" ht="21" customHeight="1">
      <c r="A608" s="185"/>
      <c r="B608" s="186" t="s">
        <v>411</v>
      </c>
      <c r="C608" s="186"/>
      <c r="D608" s="186"/>
      <c r="E608" s="590" t="s">
        <v>408</v>
      </c>
      <c r="F608" s="230"/>
      <c r="G608" s="231">
        <v>10000</v>
      </c>
    </row>
    <row r="609" spans="1:7" ht="21" customHeight="1">
      <c r="A609" s="232"/>
      <c r="B609" s="233" t="s">
        <v>455</v>
      </c>
      <c r="C609" s="233"/>
      <c r="D609" s="233"/>
      <c r="E609" s="600"/>
      <c r="F609" s="234"/>
      <c r="G609" s="231"/>
    </row>
    <row r="610" spans="1:7" ht="21" customHeight="1">
      <c r="A610" s="232"/>
      <c r="B610" s="186" t="s">
        <v>456</v>
      </c>
      <c r="C610" s="186"/>
      <c r="D610" s="186"/>
      <c r="E610" s="590"/>
      <c r="F610" s="234"/>
      <c r="G610" s="231">
        <v>500</v>
      </c>
    </row>
    <row r="611" spans="1:7" ht="21" customHeight="1">
      <c r="A611" s="232"/>
      <c r="B611" s="233"/>
      <c r="C611" s="233"/>
      <c r="D611" s="233"/>
      <c r="E611" s="590"/>
      <c r="F611" s="234"/>
      <c r="G611" s="231"/>
    </row>
    <row r="612" spans="1:7" ht="21" customHeight="1">
      <c r="A612" s="232"/>
      <c r="B612" s="233"/>
      <c r="C612" s="233"/>
      <c r="D612" s="233"/>
      <c r="E612" s="590"/>
      <c r="F612" s="234"/>
      <c r="G612" s="231"/>
    </row>
    <row r="613" spans="1:7" ht="21" customHeight="1">
      <c r="A613" s="232"/>
      <c r="B613" s="233"/>
      <c r="C613" s="233"/>
      <c r="D613" s="233"/>
      <c r="E613" s="590"/>
      <c r="F613" s="234"/>
      <c r="G613" s="231"/>
    </row>
    <row r="614" spans="1:7" ht="21" customHeight="1">
      <c r="A614" s="232"/>
      <c r="B614" s="233"/>
      <c r="C614" s="233"/>
      <c r="D614" s="233"/>
      <c r="E614" s="590"/>
      <c r="F614" s="234"/>
      <c r="G614" s="231"/>
    </row>
    <row r="615" spans="1:7" ht="21" customHeight="1">
      <c r="A615" s="232"/>
      <c r="B615" s="233"/>
      <c r="C615" s="233"/>
      <c r="D615" s="233"/>
      <c r="E615" s="596"/>
      <c r="F615" s="258"/>
      <c r="G615" s="259"/>
    </row>
    <row r="616" spans="1:7" ht="21" customHeight="1" thickBot="1">
      <c r="A616" s="235"/>
      <c r="B616" s="236"/>
      <c r="C616" s="236"/>
      <c r="D616" s="237"/>
      <c r="E616" s="591"/>
      <c r="F616" s="238">
        <f>SUM(F607:F608)</f>
        <v>10500</v>
      </c>
      <c r="G616" s="239">
        <f>SUM(G608:G615)</f>
        <v>10500</v>
      </c>
    </row>
    <row r="617" spans="1:7" ht="21" customHeight="1" thickTop="1">
      <c r="A617" s="217" t="s">
        <v>90</v>
      </c>
      <c r="B617" s="545"/>
      <c r="C617" s="240"/>
      <c r="D617" s="241"/>
      <c r="E617" s="594"/>
      <c r="F617" s="241"/>
      <c r="G617" s="243"/>
    </row>
    <row r="618" spans="1:7" ht="21" customHeight="1">
      <c r="A618" s="530">
        <v>1</v>
      </c>
      <c r="B618" s="240" t="s">
        <v>410</v>
      </c>
      <c r="C618" s="241"/>
      <c r="D618" s="242"/>
      <c r="E618" s="532"/>
      <c r="F618" s="171"/>
      <c r="G618" s="534"/>
    </row>
    <row r="619" spans="1:7" ht="21" customHeight="1">
      <c r="A619" s="535"/>
      <c r="B619" s="797" t="s">
        <v>487</v>
      </c>
      <c r="C619" s="797"/>
      <c r="D619" s="797"/>
      <c r="E619" s="797"/>
      <c r="F619" s="797"/>
      <c r="G619" s="798"/>
    </row>
    <row r="620" spans="1:7" ht="21" customHeight="1">
      <c r="A620" s="535"/>
      <c r="B620" s="547"/>
      <c r="C620" s="804"/>
      <c r="D620" s="804"/>
      <c r="E620" s="533"/>
      <c r="F620" s="532"/>
      <c r="G620" s="534"/>
    </row>
    <row r="621" spans="1:7" ht="21" customHeight="1">
      <c r="A621" s="535"/>
      <c r="B621" s="547"/>
      <c r="C621" s="531"/>
      <c r="D621" s="536"/>
      <c r="E621" s="533"/>
      <c r="F621" s="537"/>
      <c r="G621" s="534"/>
    </row>
    <row r="622" spans="1:7" ht="21" customHeight="1">
      <c r="A622" s="535"/>
      <c r="B622" s="547"/>
      <c r="C622" s="531"/>
      <c r="D622" s="538"/>
      <c r="E622" s="533"/>
      <c r="F622" s="532"/>
      <c r="G622" s="534"/>
    </row>
    <row r="623" spans="1:7" ht="21" customHeight="1">
      <c r="A623" s="535"/>
      <c r="B623" s="547"/>
      <c r="C623" s="803"/>
      <c r="D623" s="803"/>
      <c r="E623" s="533"/>
      <c r="F623" s="532"/>
      <c r="G623" s="534"/>
    </row>
    <row r="624" spans="1:7" ht="21" customHeight="1">
      <c r="A624" s="535"/>
      <c r="B624" s="547"/>
      <c r="C624" s="803"/>
      <c r="D624" s="803"/>
      <c r="E624" s="539"/>
      <c r="F624" s="532"/>
      <c r="G624" s="534"/>
    </row>
    <row r="625" spans="1:7" ht="21" customHeight="1">
      <c r="A625" s="535"/>
      <c r="B625" s="547"/>
      <c r="C625" s="803"/>
      <c r="D625" s="803"/>
      <c r="E625" s="533"/>
      <c r="F625" s="532"/>
      <c r="G625" s="534"/>
    </row>
    <row r="626" spans="1:7" ht="21" customHeight="1">
      <c r="A626" s="535"/>
      <c r="B626" s="547"/>
      <c r="C626" s="803"/>
      <c r="D626" s="803"/>
      <c r="E626" s="539"/>
      <c r="F626" s="532"/>
      <c r="G626" s="534"/>
    </row>
    <row r="627" spans="1:7" ht="21" customHeight="1">
      <c r="A627" s="535"/>
      <c r="B627" s="547"/>
      <c r="C627" s="803"/>
      <c r="D627" s="803"/>
      <c r="E627" s="539"/>
      <c r="F627" s="532"/>
      <c r="G627" s="534"/>
    </row>
    <row r="628" spans="1:7" ht="21" customHeight="1" thickBot="1">
      <c r="A628" s="251"/>
      <c r="B628" s="496"/>
      <c r="C628" s="648"/>
      <c r="D628" s="252"/>
      <c r="E628" s="593"/>
      <c r="F628" s="252"/>
      <c r="G628" s="253"/>
    </row>
    <row r="629" spans="1:7" ht="21" customHeight="1">
      <c r="A629" s="260"/>
      <c r="B629" s="260"/>
      <c r="C629" s="601"/>
      <c r="D629" s="261"/>
      <c r="E629" s="597"/>
      <c r="F629" s="261"/>
      <c r="G629" s="262"/>
    </row>
    <row r="630" spans="1:7" ht="21" customHeight="1">
      <c r="A630" s="254"/>
      <c r="B630" s="254"/>
      <c r="C630" s="159"/>
      <c r="D630" s="171"/>
      <c r="E630" s="539" t="s">
        <v>265</v>
      </c>
      <c r="F630" s="159"/>
      <c r="G630" s="171"/>
    </row>
    <row r="631" spans="1:7" ht="21" customHeight="1">
      <c r="A631" s="254"/>
      <c r="B631" s="254"/>
      <c r="C631" s="159"/>
      <c r="D631" s="171"/>
      <c r="E631" s="750" t="s">
        <v>169</v>
      </c>
      <c r="F631" s="750"/>
      <c r="G631" s="171"/>
    </row>
    <row r="632" spans="1:7" ht="21" customHeight="1">
      <c r="A632" s="254"/>
      <c r="B632" s="254"/>
      <c r="C632" s="159"/>
      <c r="D632" s="750" t="s">
        <v>377</v>
      </c>
      <c r="E632" s="750"/>
      <c r="F632" s="750"/>
      <c r="G632" s="750"/>
    </row>
    <row r="633" spans="1:7" ht="21" customHeight="1">
      <c r="A633" s="254"/>
      <c r="B633" s="254"/>
      <c r="C633" s="159"/>
      <c r="D633" s="171"/>
      <c r="E633" s="533"/>
      <c r="F633" s="171"/>
      <c r="G633" s="171"/>
    </row>
    <row r="634" spans="1:7" ht="21" customHeight="1">
      <c r="A634" s="254"/>
      <c r="B634" s="254"/>
      <c r="C634" s="159"/>
      <c r="D634" s="171"/>
      <c r="E634" s="796" t="s">
        <v>264</v>
      </c>
      <c r="F634" s="796"/>
      <c r="G634" s="171"/>
    </row>
    <row r="635" spans="1:7" ht="21" customHeight="1">
      <c r="A635" s="254"/>
      <c r="B635" s="254"/>
      <c r="C635" s="159"/>
      <c r="D635" s="256"/>
      <c r="E635" s="533"/>
      <c r="F635" s="255"/>
      <c r="G635" s="171"/>
    </row>
    <row r="636" spans="1:7" ht="21" customHeight="1">
      <c r="A636" s="254"/>
      <c r="B636" s="254"/>
      <c r="C636" s="159"/>
      <c r="D636" s="171"/>
      <c r="E636" s="539" t="s">
        <v>266</v>
      </c>
      <c r="F636" s="159"/>
      <c r="G636" s="171"/>
    </row>
    <row r="637" spans="1:7" ht="21" customHeight="1">
      <c r="A637" s="254"/>
      <c r="B637" s="254"/>
      <c r="C637" s="257"/>
      <c r="D637" s="171"/>
      <c r="E637" s="794" t="s">
        <v>402</v>
      </c>
      <c r="F637" s="794"/>
      <c r="G637" s="171"/>
    </row>
    <row r="638" spans="1:7" ht="21" customHeight="1">
      <c r="A638" s="254"/>
      <c r="B638" s="254"/>
      <c r="C638" s="240"/>
      <c r="D638" s="795" t="s">
        <v>515</v>
      </c>
      <c r="E638" s="795"/>
      <c r="F638" s="795"/>
      <c r="G638" s="795"/>
    </row>
    <row r="641" spans="6:7" ht="21" customHeight="1">
      <c r="F641" s="789" t="s">
        <v>460</v>
      </c>
      <c r="G641" s="789"/>
    </row>
    <row r="642" spans="5:7" ht="21" customHeight="1">
      <c r="E642" s="756" t="s">
        <v>451</v>
      </c>
      <c r="F642" s="756"/>
      <c r="G642" s="756"/>
    </row>
    <row r="643" spans="1:7" ht="21" customHeight="1">
      <c r="A643" s="754" t="s">
        <v>89</v>
      </c>
      <c r="B643" s="754"/>
      <c r="C643" s="754"/>
      <c r="D643" s="754"/>
      <c r="E643" s="754"/>
      <c r="F643" s="754"/>
      <c r="G643" s="754"/>
    </row>
    <row r="644" spans="1:4" ht="21" customHeight="1" thickBot="1">
      <c r="A644" s="174" t="s">
        <v>121</v>
      </c>
      <c r="B644" s="174"/>
      <c r="C644" s="174"/>
      <c r="D644" s="223"/>
    </row>
    <row r="645" spans="1:7" ht="21" customHeight="1" thickBot="1">
      <c r="A645" s="777" t="s">
        <v>52</v>
      </c>
      <c r="B645" s="782"/>
      <c r="C645" s="782"/>
      <c r="D645" s="783"/>
      <c r="E645" s="588" t="s">
        <v>47</v>
      </c>
      <c r="F645" s="225" t="s">
        <v>9</v>
      </c>
      <c r="G645" s="226" t="s">
        <v>10</v>
      </c>
    </row>
    <row r="646" spans="1:7" ht="21" customHeight="1">
      <c r="A646" s="185" t="s">
        <v>249</v>
      </c>
      <c r="B646" s="186"/>
      <c r="C646" s="186"/>
      <c r="D646" s="186"/>
      <c r="E646" s="589" t="s">
        <v>250</v>
      </c>
      <c r="F646" s="227">
        <f>SUM(G647:G649)</f>
        <v>10500</v>
      </c>
      <c r="G646" s="228"/>
    </row>
    <row r="647" spans="1:7" ht="21" customHeight="1">
      <c r="A647" s="185"/>
      <c r="B647" s="186"/>
      <c r="C647" s="186" t="s">
        <v>88</v>
      </c>
      <c r="D647" s="186"/>
      <c r="E647" s="590" t="s">
        <v>454</v>
      </c>
      <c r="F647" s="230"/>
      <c r="G647" s="231">
        <v>10500</v>
      </c>
    </row>
    <row r="648" spans="1:7" ht="21" customHeight="1">
      <c r="A648" s="232"/>
      <c r="B648" s="233"/>
      <c r="C648" s="233"/>
      <c r="D648" s="233"/>
      <c r="E648" s="600"/>
      <c r="F648" s="234"/>
      <c r="G648" s="231"/>
    </row>
    <row r="649" spans="1:7" ht="21" customHeight="1">
      <c r="A649" s="232"/>
      <c r="B649" s="233"/>
      <c r="C649" s="186"/>
      <c r="D649" s="186"/>
      <c r="E649" s="590"/>
      <c r="F649" s="234"/>
      <c r="G649" s="231"/>
    </row>
    <row r="650" spans="1:7" ht="21" customHeight="1">
      <c r="A650" s="232"/>
      <c r="B650" s="233"/>
      <c r="C650" s="233"/>
      <c r="D650" s="233"/>
      <c r="E650" s="590"/>
      <c r="F650" s="234"/>
      <c r="G650" s="231"/>
    </row>
    <row r="651" spans="1:7" ht="21" customHeight="1">
      <c r="A651" s="232"/>
      <c r="B651" s="233"/>
      <c r="C651" s="233"/>
      <c r="D651" s="233"/>
      <c r="E651" s="590"/>
      <c r="F651" s="234"/>
      <c r="G651" s="231"/>
    </row>
    <row r="652" spans="1:7" ht="21" customHeight="1">
      <c r="A652" s="232"/>
      <c r="B652" s="233"/>
      <c r="C652" s="233"/>
      <c r="D652" s="233"/>
      <c r="E652" s="590"/>
      <c r="F652" s="234"/>
      <c r="G652" s="231"/>
    </row>
    <row r="653" spans="1:7" ht="21" customHeight="1">
      <c r="A653" s="232"/>
      <c r="B653" s="233"/>
      <c r="C653" s="233"/>
      <c r="D653" s="233"/>
      <c r="E653" s="590"/>
      <c r="F653" s="234"/>
      <c r="G653" s="231"/>
    </row>
    <row r="654" spans="1:7" ht="21" customHeight="1">
      <c r="A654" s="232"/>
      <c r="B654" s="233"/>
      <c r="C654" s="233"/>
      <c r="D654" s="233"/>
      <c r="E654" s="596"/>
      <c r="F654" s="258"/>
      <c r="G654" s="259"/>
    </row>
    <row r="655" spans="1:7" ht="21" customHeight="1" thickBot="1">
      <c r="A655" s="235"/>
      <c r="B655" s="236"/>
      <c r="C655" s="236"/>
      <c r="D655" s="237"/>
      <c r="E655" s="591"/>
      <c r="F655" s="238">
        <f>SUM(F646:F647)</f>
        <v>10500</v>
      </c>
      <c r="G655" s="239">
        <f>SUM(G647:G647)</f>
        <v>10500</v>
      </c>
    </row>
    <row r="656" spans="1:7" ht="21" customHeight="1" thickTop="1">
      <c r="A656" s="217" t="s">
        <v>90</v>
      </c>
      <c r="B656" s="240" t="s">
        <v>458</v>
      </c>
      <c r="C656" s="241"/>
      <c r="D656" s="242"/>
      <c r="F656" s="241"/>
      <c r="G656" s="243"/>
    </row>
    <row r="657" spans="1:7" ht="21" customHeight="1">
      <c r="A657" s="530"/>
      <c r="B657" s="539"/>
      <c r="C657" s="531"/>
      <c r="D657" s="532"/>
      <c r="E657" s="533"/>
      <c r="F657" s="532"/>
      <c r="G657" s="534"/>
    </row>
    <row r="658" spans="1:7" ht="21" customHeight="1">
      <c r="A658" s="535"/>
      <c r="B658" s="547"/>
      <c r="C658" s="803"/>
      <c r="D658" s="803"/>
      <c r="E658" s="533"/>
      <c r="F658" s="532"/>
      <c r="G658" s="534"/>
    </row>
    <row r="659" spans="1:7" ht="21" customHeight="1">
      <c r="A659" s="535"/>
      <c r="B659" s="547"/>
      <c r="C659" s="804"/>
      <c r="D659" s="804"/>
      <c r="E659" s="533"/>
      <c r="F659" s="532"/>
      <c r="G659" s="534"/>
    </row>
    <row r="660" spans="1:7" ht="21" customHeight="1">
      <c r="A660" s="535"/>
      <c r="B660" s="547"/>
      <c r="C660" s="531"/>
      <c r="D660" s="536"/>
      <c r="E660" s="533"/>
      <c r="F660" s="537"/>
      <c r="G660" s="534"/>
    </row>
    <row r="661" spans="1:7" ht="21" customHeight="1">
      <c r="A661" s="535"/>
      <c r="B661" s="547"/>
      <c r="C661" s="531"/>
      <c r="D661" s="538"/>
      <c r="E661" s="533"/>
      <c r="F661" s="532"/>
      <c r="G661" s="534"/>
    </row>
    <row r="662" spans="1:7" ht="21" customHeight="1">
      <c r="A662" s="535"/>
      <c r="B662" s="547"/>
      <c r="C662" s="803"/>
      <c r="D662" s="803"/>
      <c r="E662" s="533"/>
      <c r="F662" s="532"/>
      <c r="G662" s="534"/>
    </row>
    <row r="663" spans="1:7" ht="21" customHeight="1">
      <c r="A663" s="535"/>
      <c r="B663" s="547"/>
      <c r="C663" s="803"/>
      <c r="D663" s="803"/>
      <c r="E663" s="539"/>
      <c r="F663" s="532"/>
      <c r="G663" s="534"/>
    </row>
    <row r="664" spans="1:7" ht="21" customHeight="1">
      <c r="A664" s="535"/>
      <c r="B664" s="547"/>
      <c r="C664" s="803"/>
      <c r="D664" s="803"/>
      <c r="E664" s="533"/>
      <c r="F664" s="532"/>
      <c r="G664" s="534"/>
    </row>
    <row r="665" spans="1:7" ht="21" customHeight="1">
      <c r="A665" s="535"/>
      <c r="B665" s="547"/>
      <c r="C665" s="803"/>
      <c r="D665" s="803"/>
      <c r="E665" s="539"/>
      <c r="F665" s="532"/>
      <c r="G665" s="534"/>
    </row>
    <row r="666" spans="1:7" ht="21" customHeight="1">
      <c r="A666" s="535"/>
      <c r="B666" s="547"/>
      <c r="C666" s="803"/>
      <c r="D666" s="803"/>
      <c r="E666" s="539"/>
      <c r="F666" s="532"/>
      <c r="G666" s="534"/>
    </row>
    <row r="667" spans="1:7" ht="21" customHeight="1" thickBot="1">
      <c r="A667" s="251"/>
      <c r="B667" s="496"/>
      <c r="C667" s="648"/>
      <c r="D667" s="252"/>
      <c r="E667" s="593"/>
      <c r="F667" s="252"/>
      <c r="G667" s="253"/>
    </row>
    <row r="668" spans="1:7" ht="21" customHeight="1">
      <c r="A668" s="260"/>
      <c r="B668" s="260"/>
      <c r="C668" s="601"/>
      <c r="D668" s="261"/>
      <c r="E668" s="597"/>
      <c r="F668" s="261"/>
      <c r="G668" s="262"/>
    </row>
    <row r="669" spans="1:7" ht="21" customHeight="1">
      <c r="A669" s="254"/>
      <c r="B669" s="254"/>
      <c r="C669" s="159"/>
      <c r="D669" s="171"/>
      <c r="E669" s="539" t="s">
        <v>265</v>
      </c>
      <c r="F669" s="159"/>
      <c r="G669" s="171"/>
    </row>
    <row r="670" spans="1:7" ht="21" customHeight="1">
      <c r="A670" s="254"/>
      <c r="B670" s="254"/>
      <c r="C670" s="159"/>
      <c r="D670" s="171"/>
      <c r="E670" s="750" t="s">
        <v>169</v>
      </c>
      <c r="F670" s="750"/>
      <c r="G670" s="171"/>
    </row>
    <row r="671" spans="1:7" ht="21" customHeight="1">
      <c r="A671" s="254"/>
      <c r="B671" s="254"/>
      <c r="C671" s="159"/>
      <c r="D671" s="750" t="s">
        <v>377</v>
      </c>
      <c r="E671" s="750"/>
      <c r="F671" s="750"/>
      <c r="G671" s="750"/>
    </row>
    <row r="672" spans="1:7" ht="21" customHeight="1">
      <c r="A672" s="254"/>
      <c r="B672" s="254"/>
      <c r="C672" s="159"/>
      <c r="D672" s="171"/>
      <c r="E672" s="533"/>
      <c r="F672" s="171"/>
      <c r="G672" s="171"/>
    </row>
    <row r="673" spans="1:7" ht="21" customHeight="1">
      <c r="A673" s="254"/>
      <c r="B673" s="254"/>
      <c r="C673" s="159"/>
      <c r="D673" s="171"/>
      <c r="E673" s="796" t="s">
        <v>264</v>
      </c>
      <c r="F673" s="796"/>
      <c r="G673" s="171"/>
    </row>
    <row r="674" spans="1:7" ht="21" customHeight="1">
      <c r="A674" s="254"/>
      <c r="B674" s="254"/>
      <c r="C674" s="159"/>
      <c r="D674" s="256"/>
      <c r="E674" s="533"/>
      <c r="F674" s="255"/>
      <c r="G674" s="171"/>
    </row>
    <row r="675" spans="1:7" ht="21" customHeight="1">
      <c r="A675" s="254"/>
      <c r="B675" s="254"/>
      <c r="C675" s="159"/>
      <c r="D675" s="171"/>
      <c r="E675" s="539" t="s">
        <v>266</v>
      </c>
      <c r="F675" s="159"/>
      <c r="G675" s="171"/>
    </row>
    <row r="676" spans="1:7" ht="21" customHeight="1">
      <c r="A676" s="254"/>
      <c r="B676" s="254"/>
      <c r="C676" s="257"/>
      <c r="D676" s="171"/>
      <c r="E676" s="794" t="s">
        <v>402</v>
      </c>
      <c r="F676" s="794"/>
      <c r="G676" s="171"/>
    </row>
    <row r="677" spans="1:7" ht="21" customHeight="1">
      <c r="A677" s="254"/>
      <c r="B677" s="254"/>
      <c r="C677" s="240"/>
      <c r="D677" s="795" t="s">
        <v>515</v>
      </c>
      <c r="E677" s="795"/>
      <c r="F677" s="795"/>
      <c r="G677" s="795"/>
    </row>
    <row r="680" spans="6:7" ht="21" customHeight="1">
      <c r="F680" s="789" t="s">
        <v>461</v>
      </c>
      <c r="G680" s="789"/>
    </row>
    <row r="681" spans="5:7" ht="21" customHeight="1">
      <c r="E681" s="756" t="s">
        <v>451</v>
      </c>
      <c r="F681" s="756"/>
      <c r="G681" s="756"/>
    </row>
    <row r="682" spans="1:7" ht="21" customHeight="1">
      <c r="A682" s="754" t="s">
        <v>89</v>
      </c>
      <c r="B682" s="754"/>
      <c r="C682" s="754"/>
      <c r="D682" s="754"/>
      <c r="E682" s="754"/>
      <c r="F682" s="754"/>
      <c r="G682" s="754"/>
    </row>
    <row r="683" spans="1:4" ht="21" customHeight="1" thickBot="1">
      <c r="A683" s="174" t="s">
        <v>121</v>
      </c>
      <c r="B683" s="174"/>
      <c r="C683" s="174"/>
      <c r="D683" s="223"/>
    </row>
    <row r="684" spans="1:7" ht="21" customHeight="1" thickBot="1">
      <c r="A684" s="777" t="s">
        <v>52</v>
      </c>
      <c r="B684" s="782"/>
      <c r="C684" s="782"/>
      <c r="D684" s="783"/>
      <c r="E684" s="588" t="s">
        <v>47</v>
      </c>
      <c r="F684" s="225" t="s">
        <v>9</v>
      </c>
      <c r="G684" s="226" t="s">
        <v>10</v>
      </c>
    </row>
    <row r="685" spans="1:7" ht="21" customHeight="1">
      <c r="A685" s="185" t="s">
        <v>81</v>
      </c>
      <c r="B685" s="186"/>
      <c r="C685" s="186"/>
      <c r="D685" s="603"/>
      <c r="E685" s="604" t="s">
        <v>256</v>
      </c>
      <c r="F685" s="605" t="e">
        <f>หมายเหตุ3!#REF!</f>
        <v>#REF!</v>
      </c>
      <c r="G685" s="228"/>
    </row>
    <row r="686" spans="1:7" ht="21" customHeight="1">
      <c r="A686" s="185"/>
      <c r="B686" s="186"/>
      <c r="C686" s="186" t="s">
        <v>7</v>
      </c>
      <c r="D686" s="603"/>
      <c r="E686" s="604" t="s">
        <v>192</v>
      </c>
      <c r="F686" s="234"/>
      <c r="G686" s="231" t="e">
        <f>SUM(F685:F685)</f>
        <v>#REF!</v>
      </c>
    </row>
    <row r="687" spans="1:7" ht="21" customHeight="1">
      <c r="A687" s="185"/>
      <c r="B687" s="186"/>
      <c r="C687" s="186"/>
      <c r="D687" s="603"/>
      <c r="E687" s="604"/>
      <c r="F687" s="404"/>
      <c r="G687" s="606"/>
    </row>
    <row r="688" spans="1:7" ht="21" customHeight="1">
      <c r="A688" s="185"/>
      <c r="B688" s="186"/>
      <c r="C688" s="186"/>
      <c r="D688" s="603"/>
      <c r="E688" s="607"/>
      <c r="F688" s="404"/>
      <c r="G688" s="606"/>
    </row>
    <row r="689" spans="1:7" ht="21" customHeight="1">
      <c r="A689" s="185"/>
      <c r="B689" s="186"/>
      <c r="C689" s="186"/>
      <c r="D689" s="608"/>
      <c r="E689" s="609"/>
      <c r="F689" s="404"/>
      <c r="G689" s="606"/>
    </row>
    <row r="690" spans="1:7" ht="21" customHeight="1">
      <c r="A690" s="185"/>
      <c r="B690" s="186"/>
      <c r="C690" s="186"/>
      <c r="D690" s="608"/>
      <c r="E690" s="610"/>
      <c r="F690" s="404"/>
      <c r="G690" s="606"/>
    </row>
    <row r="691" spans="1:7" ht="21" customHeight="1">
      <c r="A691" s="611"/>
      <c r="B691" s="612"/>
      <c r="C691" s="612"/>
      <c r="D691" s="613"/>
      <c r="E691" s="610"/>
      <c r="F691" s="614"/>
      <c r="G691" s="606"/>
    </row>
    <row r="692" spans="1:7" ht="21" customHeight="1">
      <c r="A692" s="611"/>
      <c r="B692" s="612"/>
      <c r="C692" s="612"/>
      <c r="D692" s="613"/>
      <c r="E692" s="610"/>
      <c r="F692" s="614"/>
      <c r="G692" s="606"/>
    </row>
    <row r="693" spans="1:7" ht="21" customHeight="1">
      <c r="A693" s="611"/>
      <c r="B693" s="612"/>
      <c r="C693" s="612"/>
      <c r="D693" s="613"/>
      <c r="E693" s="610"/>
      <c r="F693" s="615"/>
      <c r="G693" s="616"/>
    </row>
    <row r="694" spans="1:7" ht="21" customHeight="1" thickBot="1">
      <c r="A694" s="235"/>
      <c r="B694" s="236"/>
      <c r="C694" s="236"/>
      <c r="D694" s="237"/>
      <c r="E694" s="591"/>
      <c r="F694" s="238" t="e">
        <f>SUM(F685:F687)</f>
        <v>#REF!</v>
      </c>
      <c r="G694" s="239" t="e">
        <f>SUM(G686:G688)</f>
        <v>#REF!</v>
      </c>
    </row>
    <row r="695" spans="1:7" ht="21" customHeight="1" thickTop="1">
      <c r="A695" s="158" t="s">
        <v>90</v>
      </c>
      <c r="B695" s="240" t="s">
        <v>459</v>
      </c>
      <c r="C695" s="241"/>
      <c r="D695" s="242"/>
      <c r="F695" s="241"/>
      <c r="G695" s="243"/>
    </row>
    <row r="696" spans="1:7" ht="21" customHeight="1">
      <c r="A696" s="245"/>
      <c r="B696" s="240" t="s">
        <v>46</v>
      </c>
      <c r="C696" s="532" t="e">
        <f>F694</f>
        <v>#REF!</v>
      </c>
      <c r="D696" s="533" t="s">
        <v>30</v>
      </c>
      <c r="F696" s="241"/>
      <c r="G696" s="243"/>
    </row>
    <row r="697" spans="1:7" ht="21" customHeight="1">
      <c r="A697" s="535"/>
      <c r="B697" s="547"/>
      <c r="C697" s="803"/>
      <c r="D697" s="803"/>
      <c r="E697" s="533"/>
      <c r="F697" s="532"/>
      <c r="G697" s="534"/>
    </row>
    <row r="698" spans="1:7" ht="21" customHeight="1">
      <c r="A698" s="535"/>
      <c r="B698" s="547"/>
      <c r="C698" s="804"/>
      <c r="D698" s="804"/>
      <c r="E698" s="533"/>
      <c r="F698" s="532"/>
      <c r="G698" s="534"/>
    </row>
    <row r="699" spans="1:7" ht="21" customHeight="1">
      <c r="A699" s="535"/>
      <c r="B699" s="547"/>
      <c r="C699" s="531"/>
      <c r="D699" s="536"/>
      <c r="E699" s="533"/>
      <c r="F699" s="537"/>
      <c r="G699" s="534"/>
    </row>
    <row r="700" spans="1:7" ht="21" customHeight="1">
      <c r="A700" s="535"/>
      <c r="B700" s="547"/>
      <c r="C700" s="531"/>
      <c r="D700" s="538"/>
      <c r="E700" s="533"/>
      <c r="F700" s="532"/>
      <c r="G700" s="534"/>
    </row>
    <row r="701" spans="1:7" ht="21" customHeight="1">
      <c r="A701" s="535"/>
      <c r="B701" s="547"/>
      <c r="C701" s="803"/>
      <c r="D701" s="803"/>
      <c r="E701" s="533"/>
      <c r="F701" s="532"/>
      <c r="G701" s="534"/>
    </row>
    <row r="702" spans="1:7" ht="21" customHeight="1">
      <c r="A702" s="535"/>
      <c r="B702" s="547"/>
      <c r="C702" s="803"/>
      <c r="D702" s="803"/>
      <c r="E702" s="539"/>
      <c r="F702" s="532"/>
      <c r="G702" s="534"/>
    </row>
    <row r="703" spans="1:7" ht="21" customHeight="1">
      <c r="A703" s="535"/>
      <c r="B703" s="547"/>
      <c r="C703" s="803"/>
      <c r="D703" s="803"/>
      <c r="E703" s="533"/>
      <c r="F703" s="532"/>
      <c r="G703" s="534"/>
    </row>
    <row r="704" spans="1:7" ht="21" customHeight="1">
      <c r="A704" s="535"/>
      <c r="B704" s="547"/>
      <c r="C704" s="803"/>
      <c r="D704" s="803"/>
      <c r="E704" s="539"/>
      <c r="F704" s="532"/>
      <c r="G704" s="534"/>
    </row>
    <row r="705" spans="1:7" ht="21" customHeight="1">
      <c r="A705" s="535"/>
      <c r="B705" s="547"/>
      <c r="C705" s="803"/>
      <c r="D705" s="803"/>
      <c r="E705" s="539"/>
      <c r="F705" s="532"/>
      <c r="G705" s="534"/>
    </row>
    <row r="706" spans="1:7" ht="21" customHeight="1" thickBot="1">
      <c r="A706" s="251"/>
      <c r="B706" s="496"/>
      <c r="C706" s="648"/>
      <c r="D706" s="252"/>
      <c r="E706" s="593"/>
      <c r="F706" s="252"/>
      <c r="G706" s="253"/>
    </row>
    <row r="707" spans="1:7" ht="21" customHeight="1">
      <c r="A707" s="260"/>
      <c r="B707" s="260"/>
      <c r="C707" s="601"/>
      <c r="D707" s="261"/>
      <c r="E707" s="597"/>
      <c r="F707" s="261"/>
      <c r="G707" s="262"/>
    </row>
    <row r="708" spans="1:7" ht="21" customHeight="1">
      <c r="A708" s="254"/>
      <c r="B708" s="254"/>
      <c r="C708" s="159"/>
      <c r="D708" s="171"/>
      <c r="E708" s="539" t="s">
        <v>265</v>
      </c>
      <c r="F708" s="159"/>
      <c r="G708" s="171"/>
    </row>
    <row r="709" spans="1:7" ht="21" customHeight="1">
      <c r="A709" s="254"/>
      <c r="B709" s="254"/>
      <c r="C709" s="159"/>
      <c r="D709" s="171"/>
      <c r="E709" s="750" t="s">
        <v>169</v>
      </c>
      <c r="F709" s="750"/>
      <c r="G709" s="171"/>
    </row>
    <row r="710" spans="1:7" ht="21" customHeight="1">
      <c r="A710" s="254"/>
      <c r="B710" s="254"/>
      <c r="C710" s="159"/>
      <c r="D710" s="750" t="s">
        <v>377</v>
      </c>
      <c r="E710" s="750"/>
      <c r="F710" s="750"/>
      <c r="G710" s="750"/>
    </row>
    <row r="711" spans="1:7" ht="21" customHeight="1">
      <c r="A711" s="254"/>
      <c r="B711" s="254"/>
      <c r="C711" s="159"/>
      <c r="D711" s="171"/>
      <c r="E711" s="533"/>
      <c r="F711" s="171"/>
      <c r="G711" s="171"/>
    </row>
    <row r="712" spans="1:7" ht="21" customHeight="1">
      <c r="A712" s="254"/>
      <c r="B712" s="254"/>
      <c r="C712" s="159"/>
      <c r="D712" s="171"/>
      <c r="E712" s="796" t="s">
        <v>264</v>
      </c>
      <c r="F712" s="796"/>
      <c r="G712" s="171"/>
    </row>
    <row r="713" spans="1:7" ht="21" customHeight="1">
      <c r="A713" s="254"/>
      <c r="B713" s="254"/>
      <c r="C713" s="159"/>
      <c r="D713" s="256"/>
      <c r="E713" s="533"/>
      <c r="F713" s="255"/>
      <c r="G713" s="171"/>
    </row>
    <row r="714" spans="1:7" ht="21" customHeight="1">
      <c r="A714" s="254"/>
      <c r="B714" s="254"/>
      <c r="C714" s="159"/>
      <c r="D714" s="171"/>
      <c r="E714" s="539" t="s">
        <v>266</v>
      </c>
      <c r="F714" s="159"/>
      <c r="G714" s="171"/>
    </row>
    <row r="715" spans="1:7" ht="21" customHeight="1">
      <c r="A715" s="254"/>
      <c r="B715" s="254"/>
      <c r="C715" s="257"/>
      <c r="D715" s="171"/>
      <c r="E715" s="794" t="s">
        <v>402</v>
      </c>
      <c r="F715" s="794"/>
      <c r="G715" s="171"/>
    </row>
    <row r="716" spans="1:7" ht="21" customHeight="1">
      <c r="A716" s="254"/>
      <c r="B716" s="254"/>
      <c r="C716" s="240"/>
      <c r="D716" s="795" t="s">
        <v>515</v>
      </c>
      <c r="E716" s="795"/>
      <c r="F716" s="795"/>
      <c r="G716" s="795"/>
    </row>
    <row r="719" spans="6:7" ht="21" customHeight="1">
      <c r="F719" s="789" t="s">
        <v>466</v>
      </c>
      <c r="G719" s="789"/>
    </row>
    <row r="720" spans="5:7" ht="21" customHeight="1">
      <c r="E720" s="756" t="s">
        <v>451</v>
      </c>
      <c r="F720" s="756"/>
      <c r="G720" s="756"/>
    </row>
    <row r="721" spans="1:7" ht="21" customHeight="1">
      <c r="A721" s="754" t="s">
        <v>89</v>
      </c>
      <c r="B721" s="754"/>
      <c r="C721" s="754"/>
      <c r="D721" s="754"/>
      <c r="E721" s="754"/>
      <c r="F721" s="754"/>
      <c r="G721" s="754"/>
    </row>
    <row r="722" spans="1:4" ht="21" customHeight="1" thickBot="1">
      <c r="A722" s="174" t="s">
        <v>121</v>
      </c>
      <c r="B722" s="174"/>
      <c r="C722" s="174"/>
      <c r="D722" s="223"/>
    </row>
    <row r="723" spans="1:7" ht="21" customHeight="1" thickBot="1">
      <c r="A723" s="777" t="s">
        <v>52</v>
      </c>
      <c r="B723" s="782"/>
      <c r="C723" s="782"/>
      <c r="D723" s="783"/>
      <c r="E723" s="588" t="s">
        <v>47</v>
      </c>
      <c r="F723" s="225" t="s">
        <v>9</v>
      </c>
      <c r="G723" s="226" t="s">
        <v>10</v>
      </c>
    </row>
    <row r="724" spans="1:8" s="544" customFormat="1" ht="21" customHeight="1">
      <c r="A724" s="185" t="s">
        <v>2</v>
      </c>
      <c r="B724" s="186"/>
      <c r="C724" s="186"/>
      <c r="D724" s="603"/>
      <c r="E724" s="604" t="s">
        <v>261</v>
      </c>
      <c r="F724" s="605">
        <v>528103.24</v>
      </c>
      <c r="G724" s="228"/>
      <c r="H724" s="543"/>
    </row>
    <row r="725" spans="1:8" s="544" customFormat="1" ht="21" customHeight="1">
      <c r="A725" s="185" t="s">
        <v>80</v>
      </c>
      <c r="B725" s="186"/>
      <c r="C725" s="186"/>
      <c r="D725" s="603"/>
      <c r="E725" s="604" t="s">
        <v>201</v>
      </c>
      <c r="F725" s="234">
        <f>E744</f>
        <v>220700</v>
      </c>
      <c r="G725" s="231">
        <v>0</v>
      </c>
      <c r="H725" s="543"/>
    </row>
    <row r="726" spans="1:9" s="544" customFormat="1" ht="21" customHeight="1">
      <c r="A726" s="185" t="s">
        <v>5</v>
      </c>
      <c r="B726" s="186"/>
      <c r="C726" s="186"/>
      <c r="D726" s="603"/>
      <c r="E726" s="609">
        <v>542000</v>
      </c>
      <c r="F726" s="404">
        <f>F744</f>
        <v>5024790</v>
      </c>
      <c r="G726" s="606"/>
      <c r="H726" s="543"/>
      <c r="I726" s="585">
        <f>SUM(F726:F727)</f>
        <v>5930914</v>
      </c>
    </row>
    <row r="727" spans="1:8" s="544" customFormat="1" ht="21" customHeight="1">
      <c r="A727" s="185" t="s">
        <v>0</v>
      </c>
      <c r="B727" s="186"/>
      <c r="C727" s="186"/>
      <c r="D727" s="603"/>
      <c r="E727" s="609">
        <v>5310100</v>
      </c>
      <c r="F727" s="404">
        <f>C744</f>
        <v>906124</v>
      </c>
      <c r="G727" s="606"/>
      <c r="H727" s="543"/>
    </row>
    <row r="728" spans="1:8" s="544" customFormat="1" ht="21" customHeight="1">
      <c r="A728" s="185"/>
      <c r="B728" s="186"/>
      <c r="C728" s="186" t="s">
        <v>81</v>
      </c>
      <c r="D728" s="603"/>
      <c r="E728" s="607">
        <v>211000</v>
      </c>
      <c r="F728" s="404"/>
      <c r="G728" s="606">
        <f>+F724+F725+F726+F727</f>
        <v>6679717.24</v>
      </c>
      <c r="H728" s="543"/>
    </row>
    <row r="729" spans="1:8" s="544" customFormat="1" ht="21" customHeight="1">
      <c r="A729" s="185"/>
      <c r="B729" s="186"/>
      <c r="C729" s="186"/>
      <c r="D729" s="608"/>
      <c r="E729" s="610"/>
      <c r="F729" s="404"/>
      <c r="G729" s="606"/>
      <c r="H729" s="543"/>
    </row>
    <row r="730" spans="1:8" s="544" customFormat="1" ht="21" customHeight="1">
      <c r="A730" s="185"/>
      <c r="B730" s="186"/>
      <c r="C730" s="186"/>
      <c r="D730" s="608"/>
      <c r="E730" s="610"/>
      <c r="F730" s="404"/>
      <c r="G730" s="606"/>
      <c r="H730" s="543"/>
    </row>
    <row r="731" spans="1:8" s="544" customFormat="1" ht="21" customHeight="1">
      <c r="A731" s="185"/>
      <c r="B731" s="186"/>
      <c r="C731" s="186"/>
      <c r="D731" s="608"/>
      <c r="E731" s="610"/>
      <c r="F731" s="404"/>
      <c r="G731" s="606"/>
      <c r="H731" s="543"/>
    </row>
    <row r="732" spans="1:8" s="544" customFormat="1" ht="21" customHeight="1" hidden="1">
      <c r="A732" s="185"/>
      <c r="B732" s="186"/>
      <c r="C732" s="186"/>
      <c r="D732" s="608"/>
      <c r="E732" s="609"/>
      <c r="F732" s="404"/>
      <c r="G732" s="606"/>
      <c r="H732" s="543"/>
    </row>
    <row r="733" spans="1:8" s="544" customFormat="1" ht="21" customHeight="1">
      <c r="A733" s="185"/>
      <c r="B733" s="186"/>
      <c r="C733" s="186"/>
      <c r="D733" s="608"/>
      <c r="E733" s="609"/>
      <c r="F733" s="404"/>
      <c r="G733" s="606"/>
      <c r="H733" s="543"/>
    </row>
    <row r="734" spans="1:8" s="544" customFormat="1" ht="21" customHeight="1">
      <c r="A734" s="185"/>
      <c r="B734" s="186"/>
      <c r="C734" s="186"/>
      <c r="D734" s="608"/>
      <c r="E734" s="610"/>
      <c r="F734" s="404"/>
      <c r="G734" s="606"/>
      <c r="H734" s="543"/>
    </row>
    <row r="735" spans="1:8" s="544" customFormat="1" ht="21" customHeight="1">
      <c r="A735" s="611"/>
      <c r="B735" s="612"/>
      <c r="C735" s="612"/>
      <c r="D735" s="613"/>
      <c r="E735" s="610"/>
      <c r="F735" s="614"/>
      <c r="G735" s="606"/>
      <c r="H735" s="543"/>
    </row>
    <row r="736" spans="1:8" s="544" customFormat="1" ht="21" customHeight="1">
      <c r="A736" s="611"/>
      <c r="B736" s="612"/>
      <c r="C736" s="612"/>
      <c r="D736" s="613"/>
      <c r="E736" s="610"/>
      <c r="F736" s="614"/>
      <c r="G736" s="606"/>
      <c r="H736" s="543"/>
    </row>
    <row r="737" spans="1:8" s="544" customFormat="1" ht="21" customHeight="1">
      <c r="A737" s="611"/>
      <c r="B737" s="612"/>
      <c r="C737" s="612"/>
      <c r="D737" s="613"/>
      <c r="E737" s="610"/>
      <c r="F737" s="615"/>
      <c r="G737" s="616"/>
      <c r="H737" s="543"/>
    </row>
    <row r="738" spans="1:8" s="544" customFormat="1" ht="21" customHeight="1" thickBot="1">
      <c r="A738" s="235"/>
      <c r="B738" s="236"/>
      <c r="C738" s="236"/>
      <c r="D738" s="237"/>
      <c r="E738" s="591"/>
      <c r="F738" s="238">
        <f>SUM(F724:F727)</f>
        <v>6679717.24</v>
      </c>
      <c r="G738" s="239">
        <f>SUM(G725:G730)</f>
        <v>6679717.24</v>
      </c>
      <c r="H738" s="543"/>
    </row>
    <row r="739" spans="1:8" s="544" customFormat="1" ht="21" customHeight="1" thickTop="1">
      <c r="A739" s="502" t="s">
        <v>90</v>
      </c>
      <c r="B739" s="468"/>
      <c r="C739" s="240" t="s">
        <v>469</v>
      </c>
      <c r="D739" s="241"/>
      <c r="E739" s="594"/>
      <c r="F739" s="241"/>
      <c r="G739" s="243"/>
      <c r="H739" s="543"/>
    </row>
    <row r="740" spans="1:8" s="544" customFormat="1" ht="21" customHeight="1">
      <c r="A740" s="245"/>
      <c r="B740" s="254"/>
      <c r="C740" s="240" t="s">
        <v>470</v>
      </c>
      <c r="D740" s="241"/>
      <c r="E740" s="533"/>
      <c r="F740" s="241"/>
      <c r="G740" s="243"/>
      <c r="H740" s="543"/>
    </row>
    <row r="741" spans="1:8" s="544" customFormat="1" ht="21" customHeight="1">
      <c r="A741" s="245"/>
      <c r="B741" s="159" t="s">
        <v>462</v>
      </c>
      <c r="C741" s="170" t="s">
        <v>465</v>
      </c>
      <c r="D741" s="171" t="s">
        <v>2</v>
      </c>
      <c r="E741" s="617" t="s">
        <v>80</v>
      </c>
      <c r="F741" s="171" t="s">
        <v>5</v>
      </c>
      <c r="G741" s="469" t="s">
        <v>70</v>
      </c>
      <c r="H741" s="543"/>
    </row>
    <row r="742" spans="1:8" s="544" customFormat="1" ht="21" customHeight="1">
      <c r="A742" s="500" t="s">
        <v>463</v>
      </c>
      <c r="B742" s="410">
        <v>2</v>
      </c>
      <c r="C742" s="410"/>
      <c r="D742" s="171">
        <v>528103.24</v>
      </c>
      <c r="E742" s="618">
        <v>0</v>
      </c>
      <c r="F742" s="171">
        <v>500000</v>
      </c>
      <c r="G742" s="619">
        <f>SUM(D742:F742)</f>
        <v>1028103.24</v>
      </c>
      <c r="H742" s="543"/>
    </row>
    <row r="743" spans="1:8" s="544" customFormat="1" ht="21" customHeight="1">
      <c r="A743" s="500" t="s">
        <v>464</v>
      </c>
      <c r="B743" s="170">
        <v>24</v>
      </c>
      <c r="C743" s="602">
        <v>906124</v>
      </c>
      <c r="D743" s="171">
        <v>0</v>
      </c>
      <c r="E743" s="617">
        <v>220700</v>
      </c>
      <c r="F743" s="171">
        <v>4524790</v>
      </c>
      <c r="G743" s="619">
        <f>SUM(C743:F743)</f>
        <v>5651614</v>
      </c>
      <c r="H743" s="543"/>
    </row>
    <row r="744" spans="1:8" s="544" customFormat="1" ht="21" customHeight="1" thickBot="1">
      <c r="A744" s="245" t="s">
        <v>70</v>
      </c>
      <c r="B744" s="620">
        <f aca="true" t="shared" si="0" ref="B744:G744">SUM(B742:B743)</f>
        <v>26</v>
      </c>
      <c r="C744" s="621">
        <f t="shared" si="0"/>
        <v>906124</v>
      </c>
      <c r="D744" s="622">
        <f t="shared" si="0"/>
        <v>528103.24</v>
      </c>
      <c r="E744" s="623">
        <f t="shared" si="0"/>
        <v>220700</v>
      </c>
      <c r="F744" s="622">
        <f>SUM(F742:F743)</f>
        <v>5024790</v>
      </c>
      <c r="G744" s="624">
        <f t="shared" si="0"/>
        <v>6679717.24</v>
      </c>
      <c r="H744" s="543"/>
    </row>
    <row r="745" spans="1:8" s="544" customFormat="1" ht="21" customHeight="1" thickBot="1" thickTop="1">
      <c r="A745" s="251"/>
      <c r="B745" s="625"/>
      <c r="C745" s="626"/>
      <c r="D745" s="551"/>
      <c r="E745" s="627"/>
      <c r="F745" s="551"/>
      <c r="G745" s="253"/>
      <c r="H745" s="543"/>
    </row>
    <row r="746" spans="1:8" s="544" customFormat="1" ht="21" customHeight="1">
      <c r="A746" s="254"/>
      <c r="B746" s="410"/>
      <c r="C746" s="247"/>
      <c r="D746" s="171"/>
      <c r="E746" s="532"/>
      <c r="F746" s="171"/>
      <c r="G746" s="171"/>
      <c r="H746" s="543"/>
    </row>
    <row r="747" spans="1:7" ht="21" customHeight="1">
      <c r="A747" s="254"/>
      <c r="B747" s="254"/>
      <c r="C747" s="159"/>
      <c r="D747" s="171"/>
      <c r="E747" s="539" t="s">
        <v>265</v>
      </c>
      <c r="F747" s="159"/>
      <c r="G747" s="171"/>
    </row>
    <row r="748" spans="1:7" ht="21" customHeight="1">
      <c r="A748" s="254"/>
      <c r="B748" s="254"/>
      <c r="C748" s="159"/>
      <c r="D748" s="171"/>
      <c r="E748" s="750" t="s">
        <v>169</v>
      </c>
      <c r="F748" s="750"/>
      <c r="G748" s="171"/>
    </row>
    <row r="749" spans="1:7" ht="21" customHeight="1">
      <c r="A749" s="254"/>
      <c r="B749" s="254"/>
      <c r="C749" s="159"/>
      <c r="D749" s="750" t="s">
        <v>377</v>
      </c>
      <c r="E749" s="750"/>
      <c r="F749" s="750"/>
      <c r="G749" s="750"/>
    </row>
    <row r="750" spans="1:7" ht="21" customHeight="1">
      <c r="A750" s="254"/>
      <c r="B750" s="254"/>
      <c r="C750" s="159"/>
      <c r="D750" s="171"/>
      <c r="E750" s="533"/>
      <c r="F750" s="171"/>
      <c r="G750" s="171"/>
    </row>
    <row r="751" spans="1:7" ht="21" customHeight="1">
      <c r="A751" s="254"/>
      <c r="B751" s="254"/>
      <c r="C751" s="159"/>
      <c r="D751" s="171"/>
      <c r="E751" s="796" t="s">
        <v>264</v>
      </c>
      <c r="F751" s="796"/>
      <c r="G751" s="171"/>
    </row>
    <row r="752" spans="1:7" ht="21" customHeight="1">
      <c r="A752" s="254"/>
      <c r="B752" s="254"/>
      <c r="C752" s="159"/>
      <c r="D752" s="256"/>
      <c r="E752" s="533"/>
      <c r="F752" s="255"/>
      <c r="G752" s="171"/>
    </row>
    <row r="753" spans="1:7" ht="21" customHeight="1">
      <c r="A753" s="254"/>
      <c r="B753" s="254"/>
      <c r="C753" s="159"/>
      <c r="D753" s="171"/>
      <c r="E753" s="796" t="s">
        <v>266</v>
      </c>
      <c r="F753" s="796"/>
      <c r="G753" s="796"/>
    </row>
    <row r="754" spans="1:7" ht="21" customHeight="1">
      <c r="A754" s="254"/>
      <c r="B754" s="254"/>
      <c r="C754" s="257"/>
      <c r="D754" s="171"/>
      <c r="E754" s="794" t="s">
        <v>402</v>
      </c>
      <c r="F754" s="794"/>
      <c r="G754" s="171"/>
    </row>
    <row r="755" spans="1:7" ht="21" customHeight="1">
      <c r="A755" s="254"/>
      <c r="B755" s="254"/>
      <c r="C755" s="240"/>
      <c r="D755" s="795" t="s">
        <v>515</v>
      </c>
      <c r="E755" s="795"/>
      <c r="F755" s="795"/>
      <c r="G755" s="795"/>
    </row>
    <row r="759" spans="6:7" ht="21" customHeight="1">
      <c r="F759" s="789" t="s">
        <v>476</v>
      </c>
      <c r="G759" s="789"/>
    </row>
    <row r="760" spans="5:7" ht="21" customHeight="1">
      <c r="E760" s="756" t="s">
        <v>451</v>
      </c>
      <c r="F760" s="756"/>
      <c r="G760" s="756"/>
    </row>
    <row r="761" spans="1:7" ht="21" customHeight="1">
      <c r="A761" s="754" t="s">
        <v>89</v>
      </c>
      <c r="B761" s="754"/>
      <c r="C761" s="754"/>
      <c r="D761" s="754"/>
      <c r="E761" s="754"/>
      <c r="F761" s="754"/>
      <c r="G761" s="754"/>
    </row>
    <row r="762" spans="1:4" ht="21" customHeight="1" thickBot="1">
      <c r="A762" s="174" t="s">
        <v>121</v>
      </c>
      <c r="B762" s="174"/>
      <c r="C762" s="174"/>
      <c r="D762" s="223"/>
    </row>
    <row r="763" spans="1:7" ht="21" customHeight="1" thickBot="1">
      <c r="A763" s="777" t="s">
        <v>52</v>
      </c>
      <c r="B763" s="782"/>
      <c r="C763" s="782"/>
      <c r="D763" s="783"/>
      <c r="E763" s="588" t="s">
        <v>47</v>
      </c>
      <c r="F763" s="225" t="s">
        <v>9</v>
      </c>
      <c r="G763" s="226" t="s">
        <v>10</v>
      </c>
    </row>
    <row r="764" spans="1:9" s="548" customFormat="1" ht="21" customHeight="1">
      <c r="A764" s="397" t="s">
        <v>467</v>
      </c>
      <c r="B764" s="186"/>
      <c r="C764" s="186"/>
      <c r="D764" s="628"/>
      <c r="E764" s="629" t="s">
        <v>468</v>
      </c>
      <c r="F764" s="630">
        <v>286416.35</v>
      </c>
      <c r="G764" s="631"/>
      <c r="H764" s="549"/>
      <c r="I764" s="549"/>
    </row>
    <row r="765" spans="1:7" s="544" customFormat="1" ht="21" customHeight="1">
      <c r="A765" s="397" t="s">
        <v>97</v>
      </c>
      <c r="B765" s="186"/>
      <c r="C765" s="186"/>
      <c r="D765" s="263"/>
      <c r="E765" s="632" t="s">
        <v>471</v>
      </c>
      <c r="F765" s="633">
        <v>152667</v>
      </c>
      <c r="G765" s="634"/>
    </row>
    <row r="766" spans="1:8" s="544" customFormat="1" ht="21" customHeight="1">
      <c r="A766" s="185"/>
      <c r="B766" s="186" t="s">
        <v>7</v>
      </c>
      <c r="C766" s="186"/>
      <c r="D766" s="603"/>
      <c r="E766" s="609">
        <v>310000</v>
      </c>
      <c r="F766" s="404"/>
      <c r="G766" s="606">
        <f>SUM(F764:F765)</f>
        <v>439083.35</v>
      </c>
      <c r="H766" s="543"/>
    </row>
    <row r="767" spans="1:8" s="544" customFormat="1" ht="21" customHeight="1">
      <c r="A767" s="185"/>
      <c r="B767" s="186"/>
      <c r="C767" s="186"/>
      <c r="D767" s="603"/>
      <c r="E767" s="609"/>
      <c r="F767" s="404"/>
      <c r="G767" s="606"/>
      <c r="H767" s="543"/>
    </row>
    <row r="768" spans="1:8" s="544" customFormat="1" ht="21" customHeight="1">
      <c r="A768" s="185"/>
      <c r="B768" s="186"/>
      <c r="C768" s="186"/>
      <c r="D768" s="603"/>
      <c r="E768" s="607"/>
      <c r="F768" s="404"/>
      <c r="G768" s="606"/>
      <c r="H768" s="543"/>
    </row>
    <row r="769" spans="1:8" s="544" customFormat="1" ht="21" customHeight="1">
      <c r="A769" s="185"/>
      <c r="B769" s="186"/>
      <c r="C769" s="186"/>
      <c r="D769" s="608"/>
      <c r="E769" s="610"/>
      <c r="F769" s="404"/>
      <c r="G769" s="606"/>
      <c r="H769" s="543"/>
    </row>
    <row r="770" spans="1:8" s="544" customFormat="1" ht="21" customHeight="1">
      <c r="A770" s="185"/>
      <c r="B770" s="186"/>
      <c r="C770" s="186"/>
      <c r="D770" s="608"/>
      <c r="E770" s="610"/>
      <c r="F770" s="404"/>
      <c r="G770" s="606"/>
      <c r="H770" s="543"/>
    </row>
    <row r="771" spans="1:8" s="544" customFormat="1" ht="21" customHeight="1">
      <c r="A771" s="185"/>
      <c r="B771" s="186"/>
      <c r="C771" s="186"/>
      <c r="D771" s="608"/>
      <c r="E771" s="610"/>
      <c r="F771" s="404"/>
      <c r="G771" s="606"/>
      <c r="H771" s="543"/>
    </row>
    <row r="772" spans="1:8" s="544" customFormat="1" ht="21" customHeight="1" hidden="1">
      <c r="A772" s="185"/>
      <c r="B772" s="186"/>
      <c r="C772" s="186"/>
      <c r="D772" s="608"/>
      <c r="E772" s="609"/>
      <c r="F772" s="404"/>
      <c r="G772" s="606"/>
      <c r="H772" s="543"/>
    </row>
    <row r="773" spans="1:8" s="544" customFormat="1" ht="21" customHeight="1">
      <c r="A773" s="185"/>
      <c r="B773" s="186"/>
      <c r="C773" s="186"/>
      <c r="D773" s="608"/>
      <c r="E773" s="609"/>
      <c r="F773" s="404"/>
      <c r="G773" s="606"/>
      <c r="H773" s="543"/>
    </row>
    <row r="774" spans="1:8" s="544" customFormat="1" ht="21" customHeight="1">
      <c r="A774" s="185"/>
      <c r="B774" s="186"/>
      <c r="C774" s="186"/>
      <c r="D774" s="608"/>
      <c r="E774" s="610"/>
      <c r="F774" s="404"/>
      <c r="G774" s="606"/>
      <c r="H774" s="543"/>
    </row>
    <row r="775" spans="1:8" s="544" customFormat="1" ht="21" customHeight="1">
      <c r="A775" s="611"/>
      <c r="B775" s="612"/>
      <c r="C775" s="612"/>
      <c r="D775" s="613"/>
      <c r="E775" s="610"/>
      <c r="F775" s="614"/>
      <c r="G775" s="606"/>
      <c r="H775" s="543"/>
    </row>
    <row r="776" spans="1:8" s="544" customFormat="1" ht="21" customHeight="1">
      <c r="A776" s="611"/>
      <c r="B776" s="612"/>
      <c r="C776" s="612"/>
      <c r="D776" s="613"/>
      <c r="E776" s="610"/>
      <c r="F776" s="614"/>
      <c r="G776" s="606"/>
      <c r="H776" s="543"/>
    </row>
    <row r="777" spans="1:8" s="544" customFormat="1" ht="21" customHeight="1">
      <c r="A777" s="611"/>
      <c r="B777" s="612"/>
      <c r="C777" s="612"/>
      <c r="D777" s="613"/>
      <c r="E777" s="610"/>
      <c r="F777" s="615"/>
      <c r="G777" s="616"/>
      <c r="H777" s="543"/>
    </row>
    <row r="778" spans="1:8" s="544" customFormat="1" ht="21" customHeight="1" thickBot="1">
      <c r="A778" s="235"/>
      <c r="B778" s="236"/>
      <c r="C778" s="236"/>
      <c r="D778" s="237"/>
      <c r="E778" s="591"/>
      <c r="F778" s="238">
        <f>SUM(F764:F767)</f>
        <v>439083.35</v>
      </c>
      <c r="G778" s="239">
        <f>SUM(G765:G770)</f>
        <v>439083.35</v>
      </c>
      <c r="H778" s="543"/>
    </row>
    <row r="779" spans="1:8" s="544" customFormat="1" ht="21" customHeight="1" thickTop="1">
      <c r="A779" s="502" t="s">
        <v>90</v>
      </c>
      <c r="B779" s="159"/>
      <c r="C779" s="159"/>
      <c r="D779" s="159"/>
      <c r="E779" s="539"/>
      <c r="F779" s="159"/>
      <c r="G779" s="464"/>
      <c r="H779" s="543"/>
    </row>
    <row r="780" spans="1:8" s="544" customFormat="1" ht="21" customHeight="1">
      <c r="A780" s="245">
        <v>1</v>
      </c>
      <c r="B780" s="240" t="s">
        <v>473</v>
      </c>
      <c r="C780" s="241"/>
      <c r="D780" s="242"/>
      <c r="E780" s="532"/>
      <c r="F780" s="171"/>
      <c r="G780" s="243"/>
      <c r="H780" s="543"/>
    </row>
    <row r="781" spans="1:8" s="544" customFormat="1" ht="21" customHeight="1">
      <c r="A781" s="245"/>
      <c r="B781" s="250" t="s">
        <v>472</v>
      </c>
      <c r="C781" s="241"/>
      <c r="D781" s="242"/>
      <c r="E781" s="532"/>
      <c r="F781" s="171"/>
      <c r="G781" s="243"/>
      <c r="H781" s="543"/>
    </row>
    <row r="782" spans="1:8" s="544" customFormat="1" ht="21" customHeight="1">
      <c r="A782" s="245">
        <v>2</v>
      </c>
      <c r="B782" s="240" t="s">
        <v>474</v>
      </c>
      <c r="C782" s="241"/>
      <c r="D782" s="242"/>
      <c r="E782" s="532"/>
      <c r="F782" s="171"/>
      <c r="G782" s="243"/>
      <c r="H782" s="543"/>
    </row>
    <row r="783" spans="1:8" s="544" customFormat="1" ht="21" customHeight="1">
      <c r="A783" s="500"/>
      <c r="B783" s="250" t="s">
        <v>475</v>
      </c>
      <c r="C783" s="241"/>
      <c r="D783" s="242"/>
      <c r="E783" s="532"/>
      <c r="F783" s="171"/>
      <c r="G783" s="243"/>
      <c r="H783" s="543"/>
    </row>
    <row r="784" spans="1:8" s="544" customFormat="1" ht="21" customHeight="1">
      <c r="A784" s="500"/>
      <c r="B784" s="170"/>
      <c r="C784" s="170"/>
      <c r="D784" s="171"/>
      <c r="E784" s="617"/>
      <c r="F784" s="171"/>
      <c r="G784" s="619"/>
      <c r="H784" s="543"/>
    </row>
    <row r="785" spans="1:8" s="544" customFormat="1" ht="21" customHeight="1" thickBot="1">
      <c r="A785" s="251"/>
      <c r="B785" s="625"/>
      <c r="C785" s="626"/>
      <c r="D785" s="551"/>
      <c r="E785" s="627"/>
      <c r="F785" s="551"/>
      <c r="G785" s="253"/>
      <c r="H785" s="543"/>
    </row>
    <row r="786" spans="1:8" s="544" customFormat="1" ht="21" customHeight="1">
      <c r="A786" s="254"/>
      <c r="B786" s="410"/>
      <c r="C786" s="247"/>
      <c r="D786" s="171"/>
      <c r="E786" s="532"/>
      <c r="F786" s="171"/>
      <c r="G786" s="171"/>
      <c r="H786" s="543"/>
    </row>
    <row r="787" spans="1:8" s="544" customFormat="1" ht="21" customHeight="1">
      <c r="A787" s="254"/>
      <c r="B787" s="410"/>
      <c r="C787" s="247"/>
      <c r="D787" s="171"/>
      <c r="E787" s="532"/>
      <c r="F787" s="171"/>
      <c r="G787" s="171"/>
      <c r="H787" s="543"/>
    </row>
    <row r="788" spans="1:7" ht="21" customHeight="1">
      <c r="A788" s="254"/>
      <c r="B788" s="254"/>
      <c r="C788" s="159"/>
      <c r="D788" s="171"/>
      <c r="E788" s="539" t="s">
        <v>265</v>
      </c>
      <c r="F788" s="159"/>
      <c r="G788" s="171"/>
    </row>
    <row r="789" spans="1:7" ht="21" customHeight="1">
      <c r="A789" s="254"/>
      <c r="B789" s="254"/>
      <c r="C789" s="159"/>
      <c r="D789" s="171"/>
      <c r="E789" s="750" t="s">
        <v>169</v>
      </c>
      <c r="F789" s="750"/>
      <c r="G789" s="171"/>
    </row>
    <row r="790" spans="1:7" ht="21" customHeight="1">
      <c r="A790" s="254"/>
      <c r="B790" s="254"/>
      <c r="C790" s="159"/>
      <c r="D790" s="750" t="s">
        <v>377</v>
      </c>
      <c r="E790" s="750"/>
      <c r="F790" s="750"/>
      <c r="G790" s="750"/>
    </row>
    <row r="791" spans="1:7" ht="21" customHeight="1">
      <c r="A791" s="254"/>
      <c r="B791" s="254"/>
      <c r="C791" s="159"/>
      <c r="D791" s="171"/>
      <c r="E791" s="533"/>
      <c r="F791" s="171"/>
      <c r="G791" s="171"/>
    </row>
    <row r="792" spans="1:7" ht="21" customHeight="1">
      <c r="A792" s="254"/>
      <c r="B792" s="254"/>
      <c r="C792" s="159"/>
      <c r="D792" s="171"/>
      <c r="E792" s="796" t="s">
        <v>264</v>
      </c>
      <c r="F792" s="796"/>
      <c r="G792" s="171"/>
    </row>
    <row r="793" spans="1:7" ht="21" customHeight="1">
      <c r="A793" s="254"/>
      <c r="B793" s="254"/>
      <c r="C793" s="159"/>
      <c r="D793" s="256"/>
      <c r="E793" s="533"/>
      <c r="F793" s="255"/>
      <c r="G793" s="171"/>
    </row>
    <row r="794" spans="1:7" ht="21" customHeight="1">
      <c r="A794" s="254"/>
      <c r="B794" s="254"/>
      <c r="C794" s="159"/>
      <c r="D794" s="171"/>
      <c r="E794" s="539" t="s">
        <v>266</v>
      </c>
      <c r="F794" s="159"/>
      <c r="G794" s="171"/>
    </row>
    <row r="795" spans="1:7" ht="21" customHeight="1">
      <c r="A795" s="254"/>
      <c r="B795" s="254"/>
      <c r="C795" s="257"/>
      <c r="D795" s="171"/>
      <c r="E795" s="794" t="s">
        <v>402</v>
      </c>
      <c r="F795" s="794"/>
      <c r="G795" s="171"/>
    </row>
    <row r="796" spans="1:7" ht="21" customHeight="1">
      <c r="A796" s="254"/>
      <c r="B796" s="254"/>
      <c r="C796" s="240"/>
      <c r="D796" s="795" t="s">
        <v>515</v>
      </c>
      <c r="E796" s="795"/>
      <c r="F796" s="795"/>
      <c r="G796" s="795"/>
    </row>
    <row r="799" spans="6:7" ht="21" customHeight="1">
      <c r="F799" s="789" t="s">
        <v>477</v>
      </c>
      <c r="G799" s="789"/>
    </row>
    <row r="800" spans="5:7" ht="21" customHeight="1">
      <c r="E800" s="756" t="s">
        <v>451</v>
      </c>
      <c r="F800" s="756"/>
      <c r="G800" s="756"/>
    </row>
    <row r="801" spans="1:7" ht="21" customHeight="1">
      <c r="A801" s="754" t="s">
        <v>89</v>
      </c>
      <c r="B801" s="754"/>
      <c r="C801" s="754"/>
      <c r="D801" s="754"/>
      <c r="E801" s="754"/>
      <c r="F801" s="754"/>
      <c r="G801" s="754"/>
    </row>
    <row r="802" spans="1:4" ht="21" customHeight="1" thickBot="1">
      <c r="A802" s="174" t="s">
        <v>121</v>
      </c>
      <c r="B802" s="174"/>
      <c r="C802" s="174"/>
      <c r="D802" s="223"/>
    </row>
    <row r="803" spans="1:7" ht="21" customHeight="1" thickBot="1">
      <c r="A803" s="777" t="s">
        <v>52</v>
      </c>
      <c r="B803" s="782"/>
      <c r="C803" s="782"/>
      <c r="D803" s="783"/>
      <c r="E803" s="588" t="s">
        <v>47</v>
      </c>
      <c r="F803" s="225" t="s">
        <v>9</v>
      </c>
      <c r="G803" s="226" t="s">
        <v>10</v>
      </c>
    </row>
    <row r="804" spans="1:9" s="548" customFormat="1" ht="21" customHeight="1">
      <c r="A804" s="799" t="s">
        <v>478</v>
      </c>
      <c r="B804" s="800"/>
      <c r="C804" s="800"/>
      <c r="D804" s="801"/>
      <c r="E804" s="629" t="s">
        <v>481</v>
      </c>
      <c r="F804" s="630">
        <v>3120</v>
      </c>
      <c r="G804" s="631"/>
      <c r="H804" s="549"/>
      <c r="I804" s="549"/>
    </row>
    <row r="805" spans="1:7" s="544" customFormat="1" ht="21" customHeight="1">
      <c r="A805" s="397" t="s">
        <v>479</v>
      </c>
      <c r="B805" s="186"/>
      <c r="C805" s="186"/>
      <c r="D805" s="263"/>
      <c r="E805" s="632" t="s">
        <v>481</v>
      </c>
      <c r="F805" s="633">
        <v>14300</v>
      </c>
      <c r="G805" s="634"/>
    </row>
    <row r="806" spans="1:8" s="544" customFormat="1" ht="21" customHeight="1">
      <c r="A806" s="773" t="s">
        <v>480</v>
      </c>
      <c r="B806" s="774"/>
      <c r="C806" s="774"/>
      <c r="D806" s="802"/>
      <c r="E806" s="609" t="s">
        <v>481</v>
      </c>
      <c r="F806" s="404">
        <v>23200</v>
      </c>
      <c r="G806" s="606"/>
      <c r="H806" s="543"/>
    </row>
    <row r="807" spans="1:8" s="544" customFormat="1" ht="21" customHeight="1">
      <c r="A807" s="185"/>
      <c r="B807" s="186" t="s">
        <v>88</v>
      </c>
      <c r="C807" s="186"/>
      <c r="D807" s="603"/>
      <c r="E807" s="609">
        <v>400000</v>
      </c>
      <c r="F807" s="404"/>
      <c r="G807" s="606">
        <f>SUM(F804:F806)</f>
        <v>40620</v>
      </c>
      <c r="H807" s="543"/>
    </row>
    <row r="808" spans="1:8" s="544" customFormat="1" ht="21" customHeight="1">
      <c r="A808" s="185"/>
      <c r="B808" s="186"/>
      <c r="C808" s="186"/>
      <c r="D808" s="603"/>
      <c r="E808" s="607"/>
      <c r="F808" s="404"/>
      <c r="G808" s="606"/>
      <c r="H808" s="543"/>
    </row>
    <row r="809" spans="1:8" s="544" customFormat="1" ht="21" customHeight="1">
      <c r="A809" s="185"/>
      <c r="B809" s="186"/>
      <c r="C809" s="186"/>
      <c r="D809" s="608"/>
      <c r="E809" s="610"/>
      <c r="F809" s="404"/>
      <c r="G809" s="606"/>
      <c r="H809" s="543"/>
    </row>
    <row r="810" spans="1:8" s="544" customFormat="1" ht="21" customHeight="1">
      <c r="A810" s="185"/>
      <c r="B810" s="186"/>
      <c r="C810" s="186"/>
      <c r="D810" s="608"/>
      <c r="E810" s="610"/>
      <c r="F810" s="404"/>
      <c r="G810" s="606"/>
      <c r="H810" s="543"/>
    </row>
    <row r="811" spans="1:8" s="544" customFormat="1" ht="21" customHeight="1">
      <c r="A811" s="185"/>
      <c r="B811" s="186"/>
      <c r="C811" s="186"/>
      <c r="D811" s="608"/>
      <c r="E811" s="610"/>
      <c r="F811" s="404"/>
      <c r="G811" s="606"/>
      <c r="H811" s="543"/>
    </row>
    <row r="812" spans="1:8" s="544" customFormat="1" ht="21" customHeight="1" hidden="1">
      <c r="A812" s="185"/>
      <c r="B812" s="186"/>
      <c r="C812" s="186"/>
      <c r="D812" s="608"/>
      <c r="E812" s="609"/>
      <c r="F812" s="404"/>
      <c r="G812" s="606"/>
      <c r="H812" s="543"/>
    </row>
    <row r="813" spans="1:8" s="544" customFormat="1" ht="21" customHeight="1">
      <c r="A813" s="185"/>
      <c r="B813" s="186"/>
      <c r="C813" s="186"/>
      <c r="D813" s="608"/>
      <c r="E813" s="609"/>
      <c r="F813" s="404"/>
      <c r="G813" s="606"/>
      <c r="H813" s="543"/>
    </row>
    <row r="814" spans="1:8" s="544" customFormat="1" ht="21" customHeight="1">
      <c r="A814" s="185"/>
      <c r="B814" s="186"/>
      <c r="C814" s="186"/>
      <c r="D814" s="608"/>
      <c r="E814" s="610"/>
      <c r="F814" s="404"/>
      <c r="G814" s="606"/>
      <c r="H814" s="543"/>
    </row>
    <row r="815" spans="1:8" s="544" customFormat="1" ht="21" customHeight="1">
      <c r="A815" s="611"/>
      <c r="B815" s="612"/>
      <c r="C815" s="612"/>
      <c r="D815" s="613"/>
      <c r="E815" s="610"/>
      <c r="F815" s="614"/>
      <c r="G815" s="606"/>
      <c r="H815" s="543"/>
    </row>
    <row r="816" spans="1:8" s="544" customFormat="1" ht="21" customHeight="1">
      <c r="A816" s="611"/>
      <c r="B816" s="612"/>
      <c r="C816" s="612"/>
      <c r="D816" s="613"/>
      <c r="E816" s="610"/>
      <c r="F816" s="614"/>
      <c r="G816" s="606"/>
      <c r="H816" s="543"/>
    </row>
    <row r="817" spans="1:8" s="544" customFormat="1" ht="21" customHeight="1">
      <c r="A817" s="611"/>
      <c r="B817" s="612"/>
      <c r="C817" s="612"/>
      <c r="D817" s="613"/>
      <c r="E817" s="610"/>
      <c r="F817" s="615"/>
      <c r="G817" s="616"/>
      <c r="H817" s="543"/>
    </row>
    <row r="818" spans="1:8" s="544" customFormat="1" ht="21" customHeight="1" thickBot="1">
      <c r="A818" s="235"/>
      <c r="B818" s="236"/>
      <c r="C818" s="236"/>
      <c r="D818" s="237"/>
      <c r="E818" s="591"/>
      <c r="F818" s="238">
        <f>SUM(F804:F807)</f>
        <v>40620</v>
      </c>
      <c r="G818" s="239">
        <f>SUM(G805:G810)</f>
        <v>40620</v>
      </c>
      <c r="H818" s="543"/>
    </row>
    <row r="819" spans="1:8" s="544" customFormat="1" ht="21" customHeight="1" thickTop="1">
      <c r="A819" s="502" t="s">
        <v>90</v>
      </c>
      <c r="B819" s="159" t="s">
        <v>482</v>
      </c>
      <c r="C819" s="159"/>
      <c r="D819" s="159"/>
      <c r="E819" s="539"/>
      <c r="F819" s="159"/>
      <c r="G819" s="464"/>
      <c r="H819" s="543"/>
    </row>
    <row r="820" spans="1:8" s="544" customFormat="1" ht="21" customHeight="1">
      <c r="A820" s="245"/>
      <c r="B820" s="240"/>
      <c r="C820" s="241"/>
      <c r="D820" s="242"/>
      <c r="E820" s="532"/>
      <c r="F820" s="171"/>
      <c r="G820" s="243"/>
      <c r="H820" s="543"/>
    </row>
    <row r="821" spans="1:8" s="544" customFormat="1" ht="21" customHeight="1">
      <c r="A821" s="245"/>
      <c r="B821" s="250"/>
      <c r="C821" s="241"/>
      <c r="D821" s="242"/>
      <c r="E821" s="532"/>
      <c r="F821" s="171"/>
      <c r="G821" s="243"/>
      <c r="H821" s="543"/>
    </row>
    <row r="822" spans="1:8" s="544" customFormat="1" ht="21" customHeight="1">
      <c r="A822" s="245"/>
      <c r="B822" s="240"/>
      <c r="C822" s="241"/>
      <c r="D822" s="242"/>
      <c r="E822" s="532"/>
      <c r="F822" s="171"/>
      <c r="G822" s="243"/>
      <c r="H822" s="543"/>
    </row>
    <row r="823" spans="1:8" s="544" customFormat="1" ht="21" customHeight="1">
      <c r="A823" s="500"/>
      <c r="B823" s="250"/>
      <c r="C823" s="241"/>
      <c r="D823" s="242"/>
      <c r="E823" s="532"/>
      <c r="F823" s="171"/>
      <c r="G823" s="243"/>
      <c r="H823" s="543"/>
    </row>
    <row r="824" spans="1:8" s="544" customFormat="1" ht="21" customHeight="1" thickBot="1">
      <c r="A824" s="586"/>
      <c r="B824" s="265"/>
      <c r="C824" s="265"/>
      <c r="D824" s="551"/>
      <c r="E824" s="635"/>
      <c r="F824" s="551"/>
      <c r="G824" s="636"/>
      <c r="H824" s="543"/>
    </row>
    <row r="825" spans="1:8" s="544" customFormat="1" ht="21" customHeight="1">
      <c r="A825" s="245"/>
      <c r="B825" s="410"/>
      <c r="C825" s="247"/>
      <c r="D825" s="171"/>
      <c r="E825" s="532"/>
      <c r="F825" s="171"/>
      <c r="G825" s="171"/>
      <c r="H825" s="543"/>
    </row>
    <row r="826" spans="1:8" s="544" customFormat="1" ht="21" customHeight="1">
      <c r="A826" s="254"/>
      <c r="B826" s="410"/>
      <c r="C826" s="247"/>
      <c r="D826" s="171"/>
      <c r="E826" s="532"/>
      <c r="F826" s="171"/>
      <c r="G826" s="171"/>
      <c r="H826" s="543"/>
    </row>
    <row r="827" spans="1:8" s="544" customFormat="1" ht="21" customHeight="1">
      <c r="A827" s="254"/>
      <c r="B827" s="410"/>
      <c r="C827" s="247"/>
      <c r="D827" s="171"/>
      <c r="E827" s="532"/>
      <c r="F827" s="171"/>
      <c r="G827" s="171"/>
      <c r="H827" s="543"/>
    </row>
    <row r="828" spans="1:7" ht="21" customHeight="1">
      <c r="A828" s="254"/>
      <c r="B828" s="254"/>
      <c r="C828" s="159"/>
      <c r="D828" s="171"/>
      <c r="E828" s="539" t="s">
        <v>265</v>
      </c>
      <c r="F828" s="159"/>
      <c r="G828" s="171"/>
    </row>
    <row r="829" spans="1:7" ht="21" customHeight="1">
      <c r="A829" s="254"/>
      <c r="B829" s="254"/>
      <c r="C829" s="159"/>
      <c r="D829" s="171"/>
      <c r="E829" s="750" t="s">
        <v>169</v>
      </c>
      <c r="F829" s="750"/>
      <c r="G829" s="171"/>
    </row>
    <row r="830" spans="1:7" ht="21" customHeight="1">
      <c r="A830" s="254"/>
      <c r="B830" s="254"/>
      <c r="C830" s="159"/>
      <c r="D830" s="750" t="s">
        <v>377</v>
      </c>
      <c r="E830" s="750"/>
      <c r="F830" s="750"/>
      <c r="G830" s="750"/>
    </row>
    <row r="831" spans="1:7" ht="21" customHeight="1">
      <c r="A831" s="254"/>
      <c r="B831" s="254"/>
      <c r="C831" s="159"/>
      <c r="D831" s="171"/>
      <c r="E831" s="533"/>
      <c r="F831" s="171"/>
      <c r="G831" s="171"/>
    </row>
    <row r="832" spans="1:7" ht="21" customHeight="1">
      <c r="A832" s="254"/>
      <c r="B832" s="254"/>
      <c r="C832" s="159"/>
      <c r="D832" s="171"/>
      <c r="E832" s="796" t="s">
        <v>264</v>
      </c>
      <c r="F832" s="796"/>
      <c r="G832" s="171"/>
    </row>
    <row r="833" spans="1:7" ht="21" customHeight="1">
      <c r="A833" s="254"/>
      <c r="B833" s="254"/>
      <c r="C833" s="159"/>
      <c r="D833" s="256"/>
      <c r="E833" s="533"/>
      <c r="F833" s="255"/>
      <c r="G833" s="171"/>
    </row>
    <row r="834" spans="1:7" ht="21" customHeight="1">
      <c r="A834" s="254"/>
      <c r="B834" s="254"/>
      <c r="C834" s="159"/>
      <c r="D834" s="171"/>
      <c r="E834" s="539" t="s">
        <v>266</v>
      </c>
      <c r="F834" s="159"/>
      <c r="G834" s="171"/>
    </row>
    <row r="835" spans="1:7" ht="21" customHeight="1">
      <c r="A835" s="254"/>
      <c r="B835" s="254"/>
      <c r="C835" s="257"/>
      <c r="D835" s="171"/>
      <c r="E835" s="794" t="s">
        <v>402</v>
      </c>
      <c r="F835" s="794"/>
      <c r="G835" s="171"/>
    </row>
    <row r="836" spans="1:7" ht="21" customHeight="1">
      <c r="A836" s="254"/>
      <c r="B836" s="254"/>
      <c r="C836" s="240"/>
      <c r="D836" s="795" t="s">
        <v>515</v>
      </c>
      <c r="E836" s="795"/>
      <c r="F836" s="795"/>
      <c r="G836" s="795"/>
    </row>
    <row r="839" spans="6:7" ht="21" customHeight="1">
      <c r="F839" s="789" t="s">
        <v>512</v>
      </c>
      <c r="G839" s="789"/>
    </row>
    <row r="840" spans="5:7" ht="21" customHeight="1">
      <c r="E840" s="756" t="s">
        <v>451</v>
      </c>
      <c r="F840" s="756"/>
      <c r="G840" s="756"/>
    </row>
    <row r="841" spans="1:7" ht="21" customHeight="1">
      <c r="A841" s="754" t="s">
        <v>89</v>
      </c>
      <c r="B841" s="754"/>
      <c r="C841" s="754"/>
      <c r="D841" s="754"/>
      <c r="E841" s="754"/>
      <c r="F841" s="754"/>
      <c r="G841" s="754"/>
    </row>
    <row r="842" spans="1:4" ht="21" customHeight="1" thickBot="1">
      <c r="A842" s="174" t="s">
        <v>121</v>
      </c>
      <c r="B842" s="174"/>
      <c r="C842" s="174"/>
      <c r="D842" s="223"/>
    </row>
    <row r="843" spans="1:7" ht="21" customHeight="1" thickBot="1">
      <c r="A843" s="777" t="s">
        <v>52</v>
      </c>
      <c r="B843" s="782"/>
      <c r="C843" s="782"/>
      <c r="D843" s="783"/>
      <c r="E843" s="588" t="s">
        <v>47</v>
      </c>
      <c r="F843" s="225" t="s">
        <v>9</v>
      </c>
      <c r="G843" s="226" t="s">
        <v>10</v>
      </c>
    </row>
    <row r="844" spans="1:9" s="548" customFormat="1" ht="21" customHeight="1">
      <c r="A844" s="799" t="s">
        <v>88</v>
      </c>
      <c r="B844" s="800"/>
      <c r="C844" s="800"/>
      <c r="D844" s="801"/>
      <c r="E844" s="629" t="s">
        <v>191</v>
      </c>
      <c r="F844" s="630">
        <f>SUM(G845:G847)</f>
        <v>40620</v>
      </c>
      <c r="G844" s="631"/>
      <c r="H844" s="549"/>
      <c r="I844" s="549"/>
    </row>
    <row r="845" spans="1:7" s="544" customFormat="1" ht="21" customHeight="1">
      <c r="A845" s="637"/>
      <c r="B845" s="186" t="s">
        <v>483</v>
      </c>
      <c r="C845" s="186"/>
      <c r="D845" s="263"/>
      <c r="E845" s="632" t="s">
        <v>363</v>
      </c>
      <c r="F845" s="633"/>
      <c r="G845" s="606">
        <v>3120</v>
      </c>
    </row>
    <row r="846" spans="1:8" s="544" customFormat="1" ht="21" customHeight="1">
      <c r="A846" s="185"/>
      <c r="B846" s="186" t="s">
        <v>484</v>
      </c>
      <c r="C846" s="186"/>
      <c r="D846" s="263"/>
      <c r="E846" s="632" t="s">
        <v>363</v>
      </c>
      <c r="F846" s="404"/>
      <c r="G846" s="606">
        <v>14300</v>
      </c>
      <c r="H846" s="543"/>
    </row>
    <row r="847" spans="1:8" s="544" customFormat="1" ht="21" customHeight="1">
      <c r="A847" s="185"/>
      <c r="B847" s="186" t="s">
        <v>485</v>
      </c>
      <c r="C847" s="186"/>
      <c r="D847" s="263"/>
      <c r="E847" s="632" t="s">
        <v>363</v>
      </c>
      <c r="F847" s="404"/>
      <c r="G847" s="606">
        <v>23200</v>
      </c>
      <c r="H847" s="543"/>
    </row>
    <row r="848" spans="1:8" s="544" customFormat="1" ht="21" customHeight="1">
      <c r="A848" s="185"/>
      <c r="B848" s="186"/>
      <c r="C848" s="186"/>
      <c r="D848" s="603"/>
      <c r="E848" s="607"/>
      <c r="F848" s="404"/>
      <c r="G848" s="606"/>
      <c r="H848" s="543"/>
    </row>
    <row r="849" spans="1:8" s="544" customFormat="1" ht="21" customHeight="1">
      <c r="A849" s="185"/>
      <c r="B849" s="186"/>
      <c r="C849" s="186"/>
      <c r="D849" s="608"/>
      <c r="E849" s="610"/>
      <c r="F849" s="404"/>
      <c r="G849" s="606"/>
      <c r="H849" s="543"/>
    </row>
    <row r="850" spans="1:8" s="544" customFormat="1" ht="21" customHeight="1">
      <c r="A850" s="185"/>
      <c r="B850" s="186"/>
      <c r="C850" s="186"/>
      <c r="D850" s="608"/>
      <c r="E850" s="610"/>
      <c r="F850" s="404"/>
      <c r="G850" s="606"/>
      <c r="H850" s="543"/>
    </row>
    <row r="851" spans="1:8" s="544" customFormat="1" ht="21" customHeight="1">
      <c r="A851" s="185"/>
      <c r="B851" s="186"/>
      <c r="C851" s="186"/>
      <c r="D851" s="608"/>
      <c r="E851" s="610"/>
      <c r="F851" s="404"/>
      <c r="G851" s="606"/>
      <c r="H851" s="543"/>
    </row>
    <row r="852" spans="1:8" s="544" customFormat="1" ht="21" customHeight="1" hidden="1">
      <c r="A852" s="185"/>
      <c r="B852" s="186"/>
      <c r="C852" s="186"/>
      <c r="D852" s="608"/>
      <c r="E852" s="609"/>
      <c r="F852" s="404"/>
      <c r="G852" s="606"/>
      <c r="H852" s="543"/>
    </row>
    <row r="853" spans="1:8" s="544" customFormat="1" ht="21" customHeight="1">
      <c r="A853" s="185"/>
      <c r="B853" s="186"/>
      <c r="C853" s="186"/>
      <c r="D853" s="608"/>
      <c r="E853" s="609"/>
      <c r="F853" s="404"/>
      <c r="G853" s="606"/>
      <c r="H853" s="543"/>
    </row>
    <row r="854" spans="1:8" s="544" customFormat="1" ht="21" customHeight="1">
      <c r="A854" s="185"/>
      <c r="B854" s="186"/>
      <c r="C854" s="186"/>
      <c r="D854" s="608"/>
      <c r="E854" s="610"/>
      <c r="F854" s="404"/>
      <c r="G854" s="606"/>
      <c r="H854" s="543"/>
    </row>
    <row r="855" spans="1:8" s="544" customFormat="1" ht="21" customHeight="1">
      <c r="A855" s="611"/>
      <c r="B855" s="612"/>
      <c r="C855" s="612"/>
      <c r="D855" s="613"/>
      <c r="E855" s="610"/>
      <c r="F855" s="614"/>
      <c r="G855" s="606"/>
      <c r="H855" s="543"/>
    </row>
    <row r="856" spans="1:8" s="544" customFormat="1" ht="21" customHeight="1">
      <c r="A856" s="611"/>
      <c r="B856" s="612"/>
      <c r="C856" s="612"/>
      <c r="D856" s="613"/>
      <c r="E856" s="610"/>
      <c r="F856" s="614"/>
      <c r="G856" s="606"/>
      <c r="H856" s="543"/>
    </row>
    <row r="857" spans="1:8" s="544" customFormat="1" ht="21" customHeight="1">
      <c r="A857" s="611"/>
      <c r="B857" s="612"/>
      <c r="C857" s="612"/>
      <c r="D857" s="613"/>
      <c r="E857" s="610"/>
      <c r="F857" s="615"/>
      <c r="G857" s="616"/>
      <c r="H857" s="543"/>
    </row>
    <row r="858" spans="1:8" s="544" customFormat="1" ht="21" customHeight="1" thickBot="1">
      <c r="A858" s="235"/>
      <c r="B858" s="236"/>
      <c r="C858" s="236"/>
      <c r="D858" s="237"/>
      <c r="E858" s="591"/>
      <c r="F858" s="238">
        <f>SUM(F844:F847)</f>
        <v>40620</v>
      </c>
      <c r="G858" s="239">
        <f>SUM(G845:G850)</f>
        <v>40620</v>
      </c>
      <c r="H858" s="543"/>
    </row>
    <row r="859" spans="1:8" s="544" customFormat="1" ht="21" customHeight="1" thickTop="1">
      <c r="A859" s="502" t="s">
        <v>90</v>
      </c>
      <c r="B859" s="159" t="s">
        <v>486</v>
      </c>
      <c r="C859" s="159"/>
      <c r="D859" s="159"/>
      <c r="E859" s="539"/>
      <c r="F859" s="159"/>
      <c r="G859" s="464"/>
      <c r="H859" s="543"/>
    </row>
    <row r="860" spans="1:8" s="544" customFormat="1" ht="21" customHeight="1">
      <c r="A860" s="245"/>
      <c r="B860" s="240"/>
      <c r="C860" s="241"/>
      <c r="D860" s="242"/>
      <c r="E860" s="532"/>
      <c r="F860" s="171"/>
      <c r="G860" s="243"/>
      <c r="H860" s="543"/>
    </row>
    <row r="861" spans="1:8" s="544" customFormat="1" ht="21" customHeight="1">
      <c r="A861" s="245"/>
      <c r="B861" s="250"/>
      <c r="C861" s="241"/>
      <c r="D861" s="242"/>
      <c r="E861" s="532"/>
      <c r="F861" s="171"/>
      <c r="G861" s="243"/>
      <c r="H861" s="543"/>
    </row>
    <row r="862" spans="1:8" s="544" customFormat="1" ht="21" customHeight="1">
      <c r="A862" s="245"/>
      <c r="B862" s="240"/>
      <c r="C862" s="241"/>
      <c r="D862" s="242"/>
      <c r="E862" s="532"/>
      <c r="F862" s="171"/>
      <c r="G862" s="243"/>
      <c r="H862" s="543"/>
    </row>
    <row r="863" spans="1:8" s="544" customFormat="1" ht="21" customHeight="1">
      <c r="A863" s="500"/>
      <c r="B863" s="250"/>
      <c r="C863" s="241"/>
      <c r="D863" s="242"/>
      <c r="E863" s="532"/>
      <c r="F863" s="171"/>
      <c r="G863" s="243"/>
      <c r="H863" s="543"/>
    </row>
    <row r="864" spans="1:8" s="544" customFormat="1" ht="21" customHeight="1" thickBot="1">
      <c r="A864" s="586"/>
      <c r="B864" s="265"/>
      <c r="C864" s="265"/>
      <c r="D864" s="551"/>
      <c r="E864" s="635"/>
      <c r="F864" s="551"/>
      <c r="G864" s="636"/>
      <c r="H864" s="543"/>
    </row>
    <row r="865" spans="1:8" s="544" customFormat="1" ht="21" customHeight="1">
      <c r="A865" s="245"/>
      <c r="B865" s="410"/>
      <c r="C865" s="247"/>
      <c r="D865" s="171"/>
      <c r="E865" s="532"/>
      <c r="F865" s="171"/>
      <c r="G865" s="171"/>
      <c r="H865" s="543"/>
    </row>
    <row r="866" spans="1:8" s="544" customFormat="1" ht="21" customHeight="1">
      <c r="A866" s="254"/>
      <c r="B866" s="410"/>
      <c r="C866" s="247"/>
      <c r="D866" s="171"/>
      <c r="E866" s="532"/>
      <c r="F866" s="171"/>
      <c r="G866" s="171"/>
      <c r="H866" s="543"/>
    </row>
    <row r="867" spans="1:8" s="544" customFormat="1" ht="21" customHeight="1">
      <c r="A867" s="254"/>
      <c r="B867" s="410"/>
      <c r="C867" s="247"/>
      <c r="D867" s="171"/>
      <c r="E867" s="532"/>
      <c r="F867" s="171"/>
      <c r="G867" s="171"/>
      <c r="H867" s="543"/>
    </row>
    <row r="868" spans="1:7" ht="21" customHeight="1">
      <c r="A868" s="254"/>
      <c r="B868" s="254"/>
      <c r="C868" s="159"/>
      <c r="D868" s="171"/>
      <c r="E868" s="539" t="s">
        <v>265</v>
      </c>
      <c r="F868" s="159"/>
      <c r="G868" s="171"/>
    </row>
    <row r="869" spans="1:7" ht="21" customHeight="1">
      <c r="A869" s="254"/>
      <c r="B869" s="254"/>
      <c r="C869" s="159"/>
      <c r="D869" s="171"/>
      <c r="E869" s="750" t="s">
        <v>169</v>
      </c>
      <c r="F869" s="750"/>
      <c r="G869" s="171"/>
    </row>
    <row r="870" spans="1:7" ht="21" customHeight="1">
      <c r="A870" s="254"/>
      <c r="B870" s="254"/>
      <c r="C870" s="159"/>
      <c r="D870" s="750" t="s">
        <v>377</v>
      </c>
      <c r="E870" s="750"/>
      <c r="F870" s="750"/>
      <c r="G870" s="750"/>
    </row>
    <row r="871" spans="1:7" ht="21" customHeight="1">
      <c r="A871" s="254"/>
      <c r="B871" s="254"/>
      <c r="C871" s="159"/>
      <c r="D871" s="171"/>
      <c r="E871" s="533"/>
      <c r="F871" s="171"/>
      <c r="G871" s="171"/>
    </row>
    <row r="872" spans="1:7" ht="21" customHeight="1">
      <c r="A872" s="254"/>
      <c r="B872" s="254"/>
      <c r="C872" s="159"/>
      <c r="D872" s="171"/>
      <c r="E872" s="796" t="s">
        <v>264</v>
      </c>
      <c r="F872" s="796"/>
      <c r="G872" s="171"/>
    </row>
    <row r="873" spans="1:7" ht="21" customHeight="1">
      <c r="A873" s="254"/>
      <c r="B873" s="254"/>
      <c r="C873" s="159"/>
      <c r="D873" s="256"/>
      <c r="E873" s="533"/>
      <c r="F873" s="255"/>
      <c r="G873" s="171"/>
    </row>
    <row r="874" spans="1:7" ht="21" customHeight="1">
      <c r="A874" s="254"/>
      <c r="B874" s="254"/>
      <c r="C874" s="159"/>
      <c r="D874" s="171"/>
      <c r="E874" s="539" t="s">
        <v>266</v>
      </c>
      <c r="F874" s="159"/>
      <c r="G874" s="171"/>
    </row>
    <row r="875" spans="1:7" ht="21" customHeight="1">
      <c r="A875" s="254"/>
      <c r="B875" s="254"/>
      <c r="C875" s="257"/>
      <c r="D875" s="171"/>
      <c r="E875" s="794" t="s">
        <v>402</v>
      </c>
      <c r="F875" s="794"/>
      <c r="G875" s="171"/>
    </row>
    <row r="876" spans="1:7" ht="21" customHeight="1">
      <c r="A876" s="254"/>
      <c r="B876" s="254"/>
      <c r="C876" s="240"/>
      <c r="D876" s="795" t="s">
        <v>515</v>
      </c>
      <c r="E876" s="795"/>
      <c r="F876" s="795"/>
      <c r="G876" s="795"/>
    </row>
    <row r="879" spans="6:7" ht="21" customHeight="1">
      <c r="F879" s="789" t="s">
        <v>513</v>
      </c>
      <c r="G879" s="789"/>
    </row>
    <row r="880" spans="5:7" ht="21" customHeight="1">
      <c r="E880" s="756" t="s">
        <v>451</v>
      </c>
      <c r="F880" s="756"/>
      <c r="G880" s="756"/>
    </row>
    <row r="881" spans="1:7" ht="21" customHeight="1">
      <c r="A881" s="754" t="s">
        <v>89</v>
      </c>
      <c r="B881" s="754"/>
      <c r="C881" s="754"/>
      <c r="D881" s="754"/>
      <c r="E881" s="754"/>
      <c r="F881" s="754"/>
      <c r="G881" s="754"/>
    </row>
    <row r="882" spans="1:4" ht="21" customHeight="1" thickBot="1">
      <c r="A882" s="174" t="s">
        <v>121</v>
      </c>
      <c r="B882" s="174"/>
      <c r="C882" s="174"/>
      <c r="D882" s="223"/>
    </row>
    <row r="883" spans="1:7" ht="21" customHeight="1" thickBot="1">
      <c r="A883" s="777" t="s">
        <v>52</v>
      </c>
      <c r="B883" s="782"/>
      <c r="C883" s="782"/>
      <c r="D883" s="783"/>
      <c r="E883" s="588" t="s">
        <v>47</v>
      </c>
      <c r="F883" s="225" t="s">
        <v>9</v>
      </c>
      <c r="G883" s="226" t="s">
        <v>10</v>
      </c>
    </row>
    <row r="884" spans="1:7" ht="21" customHeight="1">
      <c r="A884" s="185" t="s">
        <v>109</v>
      </c>
      <c r="B884" s="186"/>
      <c r="C884" s="186"/>
      <c r="D884" s="186"/>
      <c r="E884" s="589" t="s">
        <v>242</v>
      </c>
      <c r="F884" s="605">
        <v>1485</v>
      </c>
      <c r="G884" s="228"/>
    </row>
    <row r="885" spans="1:7" ht="21" customHeight="1">
      <c r="A885" s="185"/>
      <c r="B885" s="186"/>
      <c r="C885" s="186" t="s">
        <v>88</v>
      </c>
      <c r="D885" s="603"/>
      <c r="E885" s="604" t="s">
        <v>191</v>
      </c>
      <c r="F885" s="234"/>
      <c r="G885" s="231">
        <f>SUM(F884:F884)</f>
        <v>1485</v>
      </c>
    </row>
    <row r="886" spans="1:7" ht="21" customHeight="1">
      <c r="A886" s="185"/>
      <c r="B886" s="186"/>
      <c r="C886" s="186"/>
      <c r="D886" s="603"/>
      <c r="E886" s="604"/>
      <c r="F886" s="404"/>
      <c r="G886" s="606"/>
    </row>
    <row r="887" spans="1:7" ht="21" customHeight="1">
      <c r="A887" s="185"/>
      <c r="B887" s="186"/>
      <c r="C887" s="186"/>
      <c r="D887" s="603"/>
      <c r="E887" s="607"/>
      <c r="F887" s="404"/>
      <c r="G887" s="606"/>
    </row>
    <row r="888" spans="1:7" ht="21" customHeight="1">
      <c r="A888" s="185"/>
      <c r="B888" s="186"/>
      <c r="C888" s="186"/>
      <c r="D888" s="608"/>
      <c r="E888" s="609"/>
      <c r="F888" s="404"/>
      <c r="G888" s="606"/>
    </row>
    <row r="889" spans="1:7" ht="21" customHeight="1">
      <c r="A889" s="185"/>
      <c r="B889" s="186"/>
      <c r="C889" s="186"/>
      <c r="D889" s="608"/>
      <c r="E889" s="610"/>
      <c r="F889" s="404"/>
      <c r="G889" s="606"/>
    </row>
    <row r="890" spans="1:7" ht="21" customHeight="1">
      <c r="A890" s="611"/>
      <c r="B890" s="612"/>
      <c r="C890" s="612"/>
      <c r="D890" s="613"/>
      <c r="E890" s="610"/>
      <c r="F890" s="614"/>
      <c r="G890" s="606"/>
    </row>
    <row r="891" spans="1:7" ht="21" customHeight="1">
      <c r="A891" s="611"/>
      <c r="B891" s="612"/>
      <c r="C891" s="612"/>
      <c r="D891" s="613"/>
      <c r="E891" s="610"/>
      <c r="F891" s="614"/>
      <c r="G891" s="606"/>
    </row>
    <row r="892" spans="1:7" ht="21" customHeight="1">
      <c r="A892" s="611"/>
      <c r="B892" s="612"/>
      <c r="C892" s="612"/>
      <c r="D892" s="613"/>
      <c r="E892" s="610"/>
      <c r="F892" s="615"/>
      <c r="G892" s="616"/>
    </row>
    <row r="893" spans="1:7" ht="21" customHeight="1" thickBot="1">
      <c r="A893" s="235"/>
      <c r="B893" s="236"/>
      <c r="C893" s="236"/>
      <c r="D893" s="237"/>
      <c r="E893" s="591"/>
      <c r="F893" s="238">
        <f>SUM(F884:F886)</f>
        <v>1485</v>
      </c>
      <c r="G893" s="239">
        <f>SUM(G885:G887)</f>
        <v>1485</v>
      </c>
    </row>
    <row r="894" spans="1:7" ht="21" customHeight="1" thickTop="1">
      <c r="A894" s="158" t="s">
        <v>90</v>
      </c>
      <c r="B894" s="240" t="s">
        <v>482</v>
      </c>
      <c r="C894" s="241"/>
      <c r="D894" s="242"/>
      <c r="F894" s="241"/>
      <c r="G894" s="243"/>
    </row>
    <row r="895" spans="1:7" ht="21" customHeight="1">
      <c r="A895" s="245"/>
      <c r="B895" s="240"/>
      <c r="C895" s="532"/>
      <c r="D895" s="533"/>
      <c r="F895" s="241"/>
      <c r="G895" s="243"/>
    </row>
    <row r="896" spans="1:7" ht="21" customHeight="1">
      <c r="A896" s="535"/>
      <c r="B896" s="547"/>
      <c r="C896" s="803"/>
      <c r="D896" s="803"/>
      <c r="E896" s="533"/>
      <c r="F896" s="532"/>
      <c r="G896" s="534"/>
    </row>
    <row r="897" spans="1:7" ht="21" customHeight="1">
      <c r="A897" s="535"/>
      <c r="B897" s="547"/>
      <c r="C897" s="804"/>
      <c r="D897" s="804"/>
      <c r="E897" s="533"/>
      <c r="F897" s="532"/>
      <c r="G897" s="534"/>
    </row>
    <row r="898" spans="1:7" ht="21" customHeight="1">
      <c r="A898" s="535"/>
      <c r="B898" s="547"/>
      <c r="C898" s="531"/>
      <c r="D898" s="536"/>
      <c r="E898" s="533"/>
      <c r="F898" s="537"/>
      <c r="G898" s="534"/>
    </row>
    <row r="899" spans="1:7" ht="21" customHeight="1">
      <c r="A899" s="535"/>
      <c r="B899" s="547"/>
      <c r="C899" s="531"/>
      <c r="D899" s="538"/>
      <c r="E899" s="533"/>
      <c r="F899" s="532"/>
      <c r="G899" s="534"/>
    </row>
    <row r="900" spans="1:7" ht="21" customHeight="1">
      <c r="A900" s="535"/>
      <c r="B900" s="547"/>
      <c r="C900" s="803"/>
      <c r="D900" s="803"/>
      <c r="E900" s="533"/>
      <c r="F900" s="532"/>
      <c r="G900" s="534"/>
    </row>
    <row r="901" spans="1:7" ht="21" customHeight="1">
      <c r="A901" s="535"/>
      <c r="B901" s="547"/>
      <c r="C901" s="803"/>
      <c r="D901" s="803"/>
      <c r="E901" s="539"/>
      <c r="F901" s="532"/>
      <c r="G901" s="534"/>
    </row>
    <row r="902" spans="1:7" ht="21" customHeight="1">
      <c r="A902" s="535"/>
      <c r="B902" s="547"/>
      <c r="C902" s="803"/>
      <c r="D902" s="803"/>
      <c r="E902" s="533"/>
      <c r="F902" s="532"/>
      <c r="G902" s="534"/>
    </row>
    <row r="903" spans="1:7" ht="21" customHeight="1">
      <c r="A903" s="535"/>
      <c r="B903" s="547"/>
      <c r="C903" s="803"/>
      <c r="D903" s="803"/>
      <c r="E903" s="539"/>
      <c r="F903" s="532"/>
      <c r="G903" s="534"/>
    </row>
    <row r="904" spans="1:7" ht="21" customHeight="1">
      <c r="A904" s="535"/>
      <c r="B904" s="547"/>
      <c r="C904" s="803"/>
      <c r="D904" s="803"/>
      <c r="E904" s="539"/>
      <c r="F904" s="532"/>
      <c r="G904" s="534"/>
    </row>
    <row r="905" spans="1:7" ht="21" customHeight="1" thickBot="1">
      <c r="A905" s="251"/>
      <c r="B905" s="496"/>
      <c r="C905" s="648"/>
      <c r="D905" s="252"/>
      <c r="E905" s="593"/>
      <c r="F905" s="252"/>
      <c r="G905" s="253"/>
    </row>
    <row r="906" spans="1:7" ht="21" customHeight="1">
      <c r="A906" s="260"/>
      <c r="B906" s="260"/>
      <c r="C906" s="601"/>
      <c r="D906" s="261"/>
      <c r="E906" s="597"/>
      <c r="F906" s="261"/>
      <c r="G906" s="262"/>
    </row>
    <row r="907" spans="1:7" ht="21" customHeight="1">
      <c r="A907" s="254"/>
      <c r="B907" s="254"/>
      <c r="C907" s="159"/>
      <c r="D907" s="171"/>
      <c r="E907" s="539" t="s">
        <v>265</v>
      </c>
      <c r="F907" s="159"/>
      <c r="G907" s="171"/>
    </row>
    <row r="908" spans="1:7" ht="21" customHeight="1">
      <c r="A908" s="254"/>
      <c r="B908" s="254"/>
      <c r="C908" s="159"/>
      <c r="D908" s="171"/>
      <c r="E908" s="750" t="s">
        <v>169</v>
      </c>
      <c r="F908" s="750"/>
      <c r="G908" s="171"/>
    </row>
    <row r="909" spans="1:7" ht="21" customHeight="1">
      <c r="A909" s="254"/>
      <c r="B909" s="254"/>
      <c r="C909" s="159"/>
      <c r="D909" s="750" t="s">
        <v>377</v>
      </c>
      <c r="E909" s="750"/>
      <c r="F909" s="750"/>
      <c r="G909" s="750"/>
    </row>
    <row r="910" spans="1:7" ht="21" customHeight="1">
      <c r="A910" s="254"/>
      <c r="B910" s="254"/>
      <c r="C910" s="159"/>
      <c r="D910" s="171"/>
      <c r="E910" s="533"/>
      <c r="F910" s="171"/>
      <c r="G910" s="171"/>
    </row>
    <row r="911" spans="1:7" ht="21" customHeight="1">
      <c r="A911" s="254"/>
      <c r="B911" s="254"/>
      <c r="C911" s="159"/>
      <c r="D911" s="171"/>
      <c r="E911" s="796" t="s">
        <v>264</v>
      </c>
      <c r="F911" s="796"/>
      <c r="G911" s="171"/>
    </row>
    <row r="912" spans="1:7" ht="21" customHeight="1">
      <c r="A912" s="254"/>
      <c r="B912" s="254"/>
      <c r="C912" s="159"/>
      <c r="D912" s="256"/>
      <c r="E912" s="533"/>
      <c r="F912" s="255"/>
      <c r="G912" s="171"/>
    </row>
    <row r="913" spans="1:7" ht="21" customHeight="1">
      <c r="A913" s="254"/>
      <c r="B913" s="254"/>
      <c r="C913" s="159"/>
      <c r="D913" s="171"/>
      <c r="E913" s="539" t="s">
        <v>266</v>
      </c>
      <c r="F913" s="159"/>
      <c r="G913" s="171"/>
    </row>
    <row r="914" spans="1:7" ht="21" customHeight="1">
      <c r="A914" s="254"/>
      <c r="B914" s="254"/>
      <c r="C914" s="257"/>
      <c r="D914" s="171"/>
      <c r="E914" s="794" t="s">
        <v>402</v>
      </c>
      <c r="F914" s="794"/>
      <c r="G914" s="171"/>
    </row>
    <row r="915" spans="1:7" ht="21" customHeight="1">
      <c r="A915" s="254"/>
      <c r="B915" s="254"/>
      <c r="C915" s="240"/>
      <c r="D915" s="795" t="s">
        <v>515</v>
      </c>
      <c r="E915" s="795"/>
      <c r="F915" s="795"/>
      <c r="G915" s="795"/>
    </row>
    <row r="918" spans="6:7" ht="21" customHeight="1">
      <c r="F918" s="789" t="s">
        <v>516</v>
      </c>
      <c r="G918" s="789"/>
    </row>
    <row r="919" spans="5:7" ht="21" customHeight="1">
      <c r="E919" s="756" t="s">
        <v>451</v>
      </c>
      <c r="F919" s="756"/>
      <c r="G919" s="756"/>
    </row>
    <row r="920" spans="1:7" ht="21" customHeight="1">
      <c r="A920" s="754" t="s">
        <v>89</v>
      </c>
      <c r="B920" s="754"/>
      <c r="C920" s="754"/>
      <c r="D920" s="754"/>
      <c r="E920" s="754"/>
      <c r="F920" s="754"/>
      <c r="G920" s="754"/>
    </row>
    <row r="921" spans="1:4" ht="21" customHeight="1" thickBot="1">
      <c r="A921" s="174" t="s">
        <v>121</v>
      </c>
      <c r="B921" s="174"/>
      <c r="C921" s="174"/>
      <c r="D921" s="223"/>
    </row>
    <row r="922" spans="1:7" ht="21" customHeight="1" thickBot="1">
      <c r="A922" s="777" t="s">
        <v>52</v>
      </c>
      <c r="B922" s="782"/>
      <c r="C922" s="782"/>
      <c r="D922" s="783"/>
      <c r="E922" s="588" t="s">
        <v>47</v>
      </c>
      <c r="F922" s="225" t="s">
        <v>9</v>
      </c>
      <c r="G922" s="226" t="s">
        <v>10</v>
      </c>
    </row>
    <row r="923" spans="1:7" ht="21" customHeight="1">
      <c r="A923" s="185" t="s">
        <v>545</v>
      </c>
      <c r="B923" s="186"/>
      <c r="C923" s="186"/>
      <c r="D923" s="186"/>
      <c r="E923" s="589" t="s">
        <v>546</v>
      </c>
      <c r="F923" s="605">
        <v>320278.25</v>
      </c>
      <c r="G923" s="228"/>
    </row>
    <row r="924" spans="1:7" ht="21" customHeight="1">
      <c r="A924" s="185" t="s">
        <v>517</v>
      </c>
      <c r="B924" s="186"/>
      <c r="C924" s="186"/>
      <c r="D924" s="603"/>
      <c r="E924" s="604" t="s">
        <v>547</v>
      </c>
      <c r="F924" s="234">
        <v>8287.9</v>
      </c>
      <c r="G924" s="231"/>
    </row>
    <row r="925" spans="1:7" ht="21" customHeight="1">
      <c r="A925" s="185" t="s">
        <v>518</v>
      </c>
      <c r="B925" s="186"/>
      <c r="C925" s="186"/>
      <c r="D925" s="603"/>
      <c r="E925" s="604" t="s">
        <v>548</v>
      </c>
      <c r="F925" s="404">
        <v>338878</v>
      </c>
      <c r="G925" s="606"/>
    </row>
    <row r="926" spans="1:7" ht="21" customHeight="1">
      <c r="A926" s="185" t="s">
        <v>520</v>
      </c>
      <c r="B926" s="186"/>
      <c r="C926" s="186"/>
      <c r="D926" s="603"/>
      <c r="E926" s="607">
        <v>412106</v>
      </c>
      <c r="F926" s="404">
        <v>3393</v>
      </c>
      <c r="G926" s="606"/>
    </row>
    <row r="927" spans="1:7" ht="21" customHeight="1">
      <c r="A927" s="185" t="s">
        <v>519</v>
      </c>
      <c r="B927" s="186"/>
      <c r="C927" s="186"/>
      <c r="D927" s="608"/>
      <c r="E927" s="609">
        <v>412107</v>
      </c>
      <c r="F927" s="404">
        <v>288200</v>
      </c>
      <c r="G927" s="606"/>
    </row>
    <row r="928" spans="1:7" ht="21" customHeight="1">
      <c r="A928" s="185" t="s">
        <v>521</v>
      </c>
      <c r="B928" s="186"/>
      <c r="C928" s="186"/>
      <c r="D928" s="608"/>
      <c r="E928" s="610">
        <v>412112</v>
      </c>
      <c r="F928" s="404">
        <v>720</v>
      </c>
      <c r="G928" s="606"/>
    </row>
    <row r="929" spans="1:7" ht="21" customHeight="1">
      <c r="A929" s="638" t="s">
        <v>522</v>
      </c>
      <c r="B929" s="639"/>
      <c r="C929" s="639"/>
      <c r="D929" s="613"/>
      <c r="E929" s="610">
        <v>412128</v>
      </c>
      <c r="F929" s="658">
        <v>320</v>
      </c>
      <c r="G929" s="606"/>
    </row>
    <row r="930" spans="1:7" ht="21" customHeight="1">
      <c r="A930" s="638" t="s">
        <v>523</v>
      </c>
      <c r="B930" s="639"/>
      <c r="C930" s="639"/>
      <c r="D930" s="613"/>
      <c r="E930" s="610">
        <v>412202</v>
      </c>
      <c r="F930" s="658">
        <v>231150</v>
      </c>
      <c r="G930" s="606"/>
    </row>
    <row r="931" spans="1:7" ht="21" customHeight="1">
      <c r="A931" s="638" t="s">
        <v>524</v>
      </c>
      <c r="B931" s="639"/>
      <c r="C931" s="639"/>
      <c r="D931" s="613"/>
      <c r="E931" s="646">
        <v>412207</v>
      </c>
      <c r="F931" s="658">
        <v>678</v>
      </c>
      <c r="G931" s="606"/>
    </row>
    <row r="932" spans="1:7" ht="21" customHeight="1">
      <c r="A932" s="640" t="s">
        <v>525</v>
      </c>
      <c r="B932" s="641"/>
      <c r="C932" s="641"/>
      <c r="D932" s="642"/>
      <c r="E932" s="646">
        <v>412305</v>
      </c>
      <c r="F932" s="658">
        <v>300</v>
      </c>
      <c r="G932" s="606"/>
    </row>
    <row r="933" spans="1:7" ht="21" customHeight="1">
      <c r="A933" s="640" t="s">
        <v>526</v>
      </c>
      <c r="B933" s="641"/>
      <c r="C933" s="641"/>
      <c r="D933" s="642"/>
      <c r="E933" s="646">
        <v>412307</v>
      </c>
      <c r="F933" s="658">
        <v>2702</v>
      </c>
      <c r="G933" s="606"/>
    </row>
    <row r="934" spans="1:7" ht="21" customHeight="1">
      <c r="A934" s="640" t="s">
        <v>527</v>
      </c>
      <c r="B934" s="641"/>
      <c r="C934" s="641"/>
      <c r="D934" s="642"/>
      <c r="E934" s="646">
        <v>412303</v>
      </c>
      <c r="F934" s="658">
        <v>19350</v>
      </c>
      <c r="G934" s="606"/>
    </row>
    <row r="935" spans="1:7" ht="21" customHeight="1">
      <c r="A935" s="640" t="s">
        <v>528</v>
      </c>
      <c r="B935" s="641"/>
      <c r="C935" s="641"/>
      <c r="D935" s="642"/>
      <c r="E935" s="646">
        <v>412304</v>
      </c>
      <c r="F935" s="658">
        <v>5700</v>
      </c>
      <c r="G935" s="606"/>
    </row>
    <row r="936" spans="1:7" ht="21" customHeight="1">
      <c r="A936" s="640" t="s">
        <v>529</v>
      </c>
      <c r="B936" s="641"/>
      <c r="C936" s="641"/>
      <c r="D936" s="642"/>
      <c r="E936" s="646">
        <v>412308</v>
      </c>
      <c r="F936" s="658">
        <v>220</v>
      </c>
      <c r="G936" s="606"/>
    </row>
    <row r="937" spans="1:7" ht="21" customHeight="1">
      <c r="A937" s="640" t="s">
        <v>549</v>
      </c>
      <c r="B937" s="641"/>
      <c r="C937" s="641"/>
      <c r="D937" s="642"/>
      <c r="E937" s="646">
        <v>412399</v>
      </c>
      <c r="F937" s="658">
        <v>1100</v>
      </c>
      <c r="G937" s="606"/>
    </row>
    <row r="938" spans="1:7" ht="21" customHeight="1">
      <c r="A938" s="640" t="s">
        <v>530</v>
      </c>
      <c r="B938" s="641"/>
      <c r="C938" s="641"/>
      <c r="D938" s="642"/>
      <c r="E938" s="646">
        <v>412399</v>
      </c>
      <c r="F938" s="658">
        <v>220</v>
      </c>
      <c r="G938" s="606"/>
    </row>
    <row r="939" spans="1:7" ht="21" customHeight="1">
      <c r="A939" s="640" t="s">
        <v>531</v>
      </c>
      <c r="B939" s="641"/>
      <c r="C939" s="641"/>
      <c r="D939" s="642"/>
      <c r="E939" s="646">
        <v>412210</v>
      </c>
      <c r="F939" s="658">
        <v>35302.5</v>
      </c>
      <c r="G939" s="606"/>
    </row>
    <row r="940" spans="1:7" ht="21" customHeight="1">
      <c r="A940" s="640" t="s">
        <v>550</v>
      </c>
      <c r="B940" s="641"/>
      <c r="C940" s="641"/>
      <c r="D940" s="642"/>
      <c r="E940" s="646">
        <v>412210</v>
      </c>
      <c r="F940" s="658">
        <v>10400</v>
      </c>
      <c r="G940" s="606"/>
    </row>
    <row r="941" spans="1:7" ht="21" customHeight="1">
      <c r="A941" s="640" t="s">
        <v>532</v>
      </c>
      <c r="B941" s="641"/>
      <c r="C941" s="641"/>
      <c r="D941" s="642"/>
      <c r="E941" s="646">
        <v>412399</v>
      </c>
      <c r="F941" s="658">
        <v>6240</v>
      </c>
      <c r="G941" s="606"/>
    </row>
    <row r="942" spans="1:7" ht="21" customHeight="1">
      <c r="A942" s="640" t="s">
        <v>533</v>
      </c>
      <c r="B942" s="641"/>
      <c r="C942" s="641"/>
      <c r="D942" s="642"/>
      <c r="E942" s="646">
        <v>412013</v>
      </c>
      <c r="F942" s="658">
        <v>2134</v>
      </c>
      <c r="G942" s="606"/>
    </row>
    <row r="943" spans="1:7" ht="21" customHeight="1">
      <c r="A943" s="640" t="s">
        <v>534</v>
      </c>
      <c r="B943" s="641"/>
      <c r="C943" s="641"/>
      <c r="D943" s="642"/>
      <c r="E943" s="646">
        <v>412108</v>
      </c>
      <c r="F943" s="658">
        <v>15000</v>
      </c>
      <c r="G943" s="606"/>
    </row>
    <row r="944" spans="1:7" ht="21" customHeight="1">
      <c r="A944" s="640" t="s">
        <v>535</v>
      </c>
      <c r="B944" s="641"/>
      <c r="C944" s="641"/>
      <c r="D944" s="642"/>
      <c r="E944" s="646">
        <v>413002</v>
      </c>
      <c r="F944" s="658">
        <v>391450</v>
      </c>
      <c r="G944" s="606"/>
    </row>
    <row r="945" spans="1:7" ht="21" customHeight="1">
      <c r="A945" s="640" t="s">
        <v>536</v>
      </c>
      <c r="B945" s="641"/>
      <c r="C945" s="641"/>
      <c r="D945" s="642"/>
      <c r="E945" s="646">
        <v>413003</v>
      </c>
      <c r="F945" s="658">
        <f>247423.2+44727.87</f>
        <v>292151.07</v>
      </c>
      <c r="G945" s="606"/>
    </row>
    <row r="946" spans="1:7" ht="21" customHeight="1">
      <c r="A946" s="640" t="s">
        <v>537</v>
      </c>
      <c r="B946" s="641"/>
      <c r="C946" s="641"/>
      <c r="D946" s="642"/>
      <c r="E946" s="646">
        <v>415004</v>
      </c>
      <c r="F946" s="658">
        <v>61000</v>
      </c>
      <c r="G946" s="606"/>
    </row>
    <row r="947" spans="1:7" ht="21" customHeight="1">
      <c r="A947" s="640" t="s">
        <v>538</v>
      </c>
      <c r="B947" s="641"/>
      <c r="C947" s="641"/>
      <c r="D947" s="642"/>
      <c r="E947" s="646">
        <v>415006</v>
      </c>
      <c r="F947" s="658">
        <v>496</v>
      </c>
      <c r="G947" s="606"/>
    </row>
    <row r="948" spans="1:7" ht="21" customHeight="1">
      <c r="A948" s="640" t="s">
        <v>539</v>
      </c>
      <c r="B948" s="641"/>
      <c r="C948" s="645"/>
      <c r="D948" s="642"/>
      <c r="E948" s="646">
        <v>415999</v>
      </c>
      <c r="F948" s="658">
        <v>163331.92</v>
      </c>
      <c r="G948" s="606"/>
    </row>
    <row r="949" spans="1:7" ht="21" customHeight="1">
      <c r="A949" s="640" t="s">
        <v>540</v>
      </c>
      <c r="B949" s="641"/>
      <c r="C949" s="645"/>
      <c r="D949" s="642"/>
      <c r="E949" s="646">
        <v>421002</v>
      </c>
      <c r="F949" s="658">
        <v>14251644.01</v>
      </c>
      <c r="G949" s="606"/>
    </row>
    <row r="950" spans="1:7" ht="21" customHeight="1">
      <c r="A950" s="640" t="s">
        <v>415</v>
      </c>
      <c r="B950" s="641"/>
      <c r="C950" s="645"/>
      <c r="D950" s="642"/>
      <c r="E950" s="646">
        <v>421004</v>
      </c>
      <c r="F950" s="658">
        <v>1608791.14</v>
      </c>
      <c r="G950" s="606"/>
    </row>
    <row r="951" spans="1:7" ht="21" customHeight="1">
      <c r="A951" s="640" t="s">
        <v>399</v>
      </c>
      <c r="B951" s="641"/>
      <c r="C951" s="645"/>
      <c r="D951" s="642"/>
      <c r="E951" s="646">
        <v>421005</v>
      </c>
      <c r="F951" s="658">
        <v>96345.92</v>
      </c>
      <c r="G951" s="606"/>
    </row>
    <row r="952" spans="1:7" ht="21" customHeight="1">
      <c r="A952" s="640" t="s">
        <v>416</v>
      </c>
      <c r="B952" s="641"/>
      <c r="C952" s="645"/>
      <c r="D952" s="642"/>
      <c r="E952" s="646">
        <v>421006</v>
      </c>
      <c r="F952" s="658">
        <v>741740.03</v>
      </c>
      <c r="G952" s="606"/>
    </row>
    <row r="953" spans="1:7" ht="21" customHeight="1">
      <c r="A953" s="640" t="s">
        <v>417</v>
      </c>
      <c r="B953" s="641"/>
      <c r="C953" s="645"/>
      <c r="D953" s="642"/>
      <c r="E953" s="646">
        <v>421007</v>
      </c>
      <c r="F953" s="658">
        <v>1595488.95</v>
      </c>
      <c r="G953" s="606"/>
    </row>
    <row r="954" spans="1:7" ht="21" customHeight="1">
      <c r="A954" s="640" t="s">
        <v>541</v>
      </c>
      <c r="B954" s="641"/>
      <c r="C954" s="645"/>
      <c r="D954" s="642"/>
      <c r="E954" s="646">
        <v>421012</v>
      </c>
      <c r="F954" s="658">
        <v>40883.29</v>
      </c>
      <c r="G954" s="606"/>
    </row>
    <row r="955" spans="1:7" ht="21" customHeight="1">
      <c r="A955" s="640" t="s">
        <v>542</v>
      </c>
      <c r="B955" s="641"/>
      <c r="C955" s="645"/>
      <c r="D955" s="642"/>
      <c r="E955" s="646">
        <v>421013</v>
      </c>
      <c r="F955" s="658">
        <v>25288.94</v>
      </c>
      <c r="G955" s="606"/>
    </row>
    <row r="956" spans="1:7" ht="21" customHeight="1">
      <c r="A956" s="663" t="s">
        <v>543</v>
      </c>
      <c r="B956" s="664"/>
      <c r="C956" s="236"/>
      <c r="D956" s="237"/>
      <c r="E956" s="665">
        <v>421015</v>
      </c>
      <c r="F956" s="666">
        <v>567735</v>
      </c>
      <c r="G956" s="667"/>
    </row>
    <row r="957" spans="1:7" ht="21" customHeight="1">
      <c r="A957" s="530" t="s">
        <v>412</v>
      </c>
      <c r="B957" s="539"/>
      <c r="C957" s="546"/>
      <c r="D957" s="659"/>
      <c r="E957" s="660">
        <v>421001</v>
      </c>
      <c r="F957" s="661">
        <v>891405.65</v>
      </c>
      <c r="G957" s="662"/>
    </row>
    <row r="958" spans="1:9" ht="21" customHeight="1">
      <c r="A958" s="640" t="s">
        <v>557</v>
      </c>
      <c r="B958" s="641"/>
      <c r="C958" s="645"/>
      <c r="D958" s="642"/>
      <c r="E958" s="646">
        <v>431002</v>
      </c>
      <c r="F958" s="658">
        <v>13021461</v>
      </c>
      <c r="G958" s="606"/>
      <c r="I958" s="184">
        <f>SUM(F923:F948)</f>
        <v>2199002.64</v>
      </c>
    </row>
    <row r="959" spans="1:7" ht="21" customHeight="1">
      <c r="A959" s="668" t="s">
        <v>558</v>
      </c>
      <c r="B959" s="641"/>
      <c r="C959" s="645"/>
      <c r="D959" s="642"/>
      <c r="E959" s="646">
        <v>431002</v>
      </c>
      <c r="F959" s="658">
        <v>6782447</v>
      </c>
      <c r="G959" s="606"/>
    </row>
    <row r="960" spans="1:7" ht="21" customHeight="1">
      <c r="A960" s="640" t="s">
        <v>559</v>
      </c>
      <c r="B960" s="641"/>
      <c r="C960" s="645"/>
      <c r="D960" s="642"/>
      <c r="E960" s="646">
        <v>431004</v>
      </c>
      <c r="F960" s="658">
        <v>183500</v>
      </c>
      <c r="G960" s="606"/>
    </row>
    <row r="961" spans="1:9" ht="21" customHeight="1">
      <c r="A961" s="640" t="s">
        <v>560</v>
      </c>
      <c r="B961" s="641"/>
      <c r="C961" s="645"/>
      <c r="D961" s="642"/>
      <c r="E961" s="646">
        <v>431004</v>
      </c>
      <c r="F961" s="658">
        <v>95559</v>
      </c>
      <c r="G961" s="606"/>
      <c r="I961" s="184">
        <f>SUM(F960:F969)</f>
        <v>5689069</v>
      </c>
    </row>
    <row r="962" spans="1:9" ht="21" customHeight="1">
      <c r="A962" s="638" t="s">
        <v>561</v>
      </c>
      <c r="B962" s="639"/>
      <c r="C962" s="612"/>
      <c r="D962" s="613"/>
      <c r="E962" s="646">
        <v>431004</v>
      </c>
      <c r="F962" s="658">
        <v>27510</v>
      </c>
      <c r="G962" s="606"/>
      <c r="I962" s="184">
        <f>SUM(F949:F957)</f>
        <v>19819322.93</v>
      </c>
    </row>
    <row r="963" spans="1:7" ht="21" customHeight="1">
      <c r="A963" s="638" t="s">
        <v>562</v>
      </c>
      <c r="B963" s="639"/>
      <c r="C963" s="612"/>
      <c r="D963" s="613"/>
      <c r="E963" s="646">
        <v>431004</v>
      </c>
      <c r="F963" s="658">
        <v>4361100</v>
      </c>
      <c r="G963" s="606"/>
    </row>
    <row r="964" spans="1:7" ht="21" customHeight="1">
      <c r="A964" s="638" t="s">
        <v>563</v>
      </c>
      <c r="B964" s="639"/>
      <c r="C964" s="612"/>
      <c r="D964" s="613"/>
      <c r="E964" s="646">
        <v>431004</v>
      </c>
      <c r="F964" s="658">
        <v>784800</v>
      </c>
      <c r="G964" s="606"/>
    </row>
    <row r="965" spans="1:7" ht="21" customHeight="1">
      <c r="A965" s="638" t="s">
        <v>564</v>
      </c>
      <c r="B965" s="639"/>
      <c r="C965" s="612"/>
      <c r="D965" s="613"/>
      <c r="E965" s="646">
        <v>431004</v>
      </c>
      <c r="F965" s="658">
        <v>6000</v>
      </c>
      <c r="G965" s="606"/>
    </row>
    <row r="966" spans="1:7" ht="21" customHeight="1">
      <c r="A966" s="638" t="s">
        <v>565</v>
      </c>
      <c r="B966" s="639"/>
      <c r="C966" s="612"/>
      <c r="D966" s="613"/>
      <c r="E966" s="646">
        <v>431004</v>
      </c>
      <c r="F966" s="658">
        <v>120000</v>
      </c>
      <c r="G966" s="606"/>
    </row>
    <row r="967" spans="1:7" ht="21" customHeight="1">
      <c r="A967" s="638" t="s">
        <v>566</v>
      </c>
      <c r="B967" s="639"/>
      <c r="C967" s="612"/>
      <c r="D967" s="613"/>
      <c r="E967" s="646">
        <v>431004</v>
      </c>
      <c r="F967" s="658">
        <v>19500</v>
      </c>
      <c r="G967" s="606"/>
    </row>
    <row r="968" spans="1:7" ht="21" customHeight="1">
      <c r="A968" s="638" t="s">
        <v>567</v>
      </c>
      <c r="B968" s="639"/>
      <c r="C968" s="612"/>
      <c r="D968" s="613"/>
      <c r="E968" s="646">
        <v>431004</v>
      </c>
      <c r="F968" s="658">
        <v>56100</v>
      </c>
      <c r="G968" s="606"/>
    </row>
    <row r="969" spans="1:7" ht="21" customHeight="1">
      <c r="A969" s="638" t="s">
        <v>568</v>
      </c>
      <c r="B969" s="639"/>
      <c r="C969" s="612"/>
      <c r="D969" s="613"/>
      <c r="E969" s="646">
        <v>431004</v>
      </c>
      <c r="F969" s="658">
        <v>35000</v>
      </c>
      <c r="G969" s="606"/>
    </row>
    <row r="970" spans="1:7" ht="21" customHeight="1">
      <c r="A970" s="640" t="s">
        <v>544</v>
      </c>
      <c r="B970" s="539"/>
      <c r="C970" s="546"/>
      <c r="D970" s="659"/>
      <c r="E970" s="647">
        <v>441002</v>
      </c>
      <c r="F970" s="669">
        <v>1983000</v>
      </c>
      <c r="G970" s="644"/>
    </row>
    <row r="971" spans="1:7" ht="21" customHeight="1">
      <c r="A971" s="638"/>
      <c r="B971" s="639" t="s">
        <v>88</v>
      </c>
      <c r="C971" s="612"/>
      <c r="D971" s="613"/>
      <c r="E971" s="610">
        <v>400000</v>
      </c>
      <c r="F971" s="614"/>
      <c r="G971" s="606">
        <f>SUM(F923:F970)</f>
        <v>49494302.57</v>
      </c>
    </row>
    <row r="972" spans="1:7" ht="21" customHeight="1" thickBot="1">
      <c r="A972" s="670"/>
      <c r="B972" s="671"/>
      <c r="C972" s="671"/>
      <c r="D972" s="672"/>
      <c r="E972" s="673"/>
      <c r="F972" s="674">
        <f>SUM(F923:F971)</f>
        <v>49494302.57</v>
      </c>
      <c r="G972" s="675">
        <f>G971</f>
        <v>49494302.57</v>
      </c>
    </row>
    <row r="973" spans="1:7" ht="21" customHeight="1" thickBot="1" thickTop="1">
      <c r="A973" s="158" t="s">
        <v>90</v>
      </c>
      <c r="B973" s="649" t="s">
        <v>553</v>
      </c>
      <c r="C973" s="650"/>
      <c r="D973" s="651"/>
      <c r="E973" s="652"/>
      <c r="F973" s="653"/>
      <c r="G973" s="654"/>
    </row>
    <row r="974" spans="1:7" ht="21" customHeight="1">
      <c r="A974" s="260"/>
      <c r="B974" s="260"/>
      <c r="C974" s="601"/>
      <c r="D974" s="261"/>
      <c r="E974" s="597"/>
      <c r="F974" s="261"/>
      <c r="G974" s="262"/>
    </row>
    <row r="975" spans="1:7" ht="21" customHeight="1">
      <c r="A975" s="254"/>
      <c r="B975" s="254"/>
      <c r="C975" s="159"/>
      <c r="D975" s="171"/>
      <c r="E975" s="539" t="s">
        <v>265</v>
      </c>
      <c r="F975" s="159"/>
      <c r="G975" s="171"/>
    </row>
    <row r="976" spans="1:7" ht="21" customHeight="1">
      <c r="A976" s="254"/>
      <c r="B976" s="254"/>
      <c r="C976" s="159"/>
      <c r="D976" s="171"/>
      <c r="E976" s="750" t="s">
        <v>169</v>
      </c>
      <c r="F976" s="750"/>
      <c r="G976" s="171"/>
    </row>
    <row r="977" spans="1:7" ht="21" customHeight="1">
      <c r="A977" s="254"/>
      <c r="B977" s="254"/>
      <c r="C977" s="159"/>
      <c r="D977" s="750" t="s">
        <v>377</v>
      </c>
      <c r="E977" s="750"/>
      <c r="F977" s="750"/>
      <c r="G977" s="750"/>
    </row>
    <row r="978" spans="1:7" ht="21" customHeight="1">
      <c r="A978" s="254"/>
      <c r="B978" s="254"/>
      <c r="C978" s="159"/>
      <c r="D978" s="171"/>
      <c r="E978" s="533"/>
      <c r="F978" s="171"/>
      <c r="G978" s="171"/>
    </row>
    <row r="979" spans="1:7" ht="21" customHeight="1">
      <c r="A979" s="254"/>
      <c r="B979" s="254"/>
      <c r="C979" s="159"/>
      <c r="D979" s="171"/>
      <c r="E979" s="796" t="s">
        <v>264</v>
      </c>
      <c r="F979" s="796"/>
      <c r="G979" s="171"/>
    </row>
    <row r="980" spans="1:7" ht="21" customHeight="1">
      <c r="A980" s="254"/>
      <c r="B980" s="254"/>
      <c r="C980" s="159"/>
      <c r="D980" s="256"/>
      <c r="E980" s="533"/>
      <c r="F980" s="255"/>
      <c r="G980" s="171"/>
    </row>
    <row r="981" spans="1:7" ht="21" customHeight="1">
      <c r="A981" s="254"/>
      <c r="B981" s="254"/>
      <c r="C981" s="159"/>
      <c r="D981" s="171"/>
      <c r="E981" s="539" t="s">
        <v>266</v>
      </c>
      <c r="F981" s="159"/>
      <c r="G981" s="171"/>
    </row>
    <row r="982" spans="1:7" ht="21" customHeight="1">
      <c r="A982" s="254"/>
      <c r="B982" s="254"/>
      <c r="C982" s="257"/>
      <c r="D982" s="171"/>
      <c r="E982" s="794" t="s">
        <v>402</v>
      </c>
      <c r="F982" s="794"/>
      <c r="G982" s="171"/>
    </row>
    <row r="983" spans="1:7" ht="21" customHeight="1">
      <c r="A983" s="254"/>
      <c r="B983" s="254"/>
      <c r="C983" s="240"/>
      <c r="D983" s="795" t="s">
        <v>515</v>
      </c>
      <c r="E983" s="795"/>
      <c r="F983" s="795"/>
      <c r="G983" s="795"/>
    </row>
    <row r="996" spans="6:7" ht="21" customHeight="1">
      <c r="F996" s="789" t="s">
        <v>555</v>
      </c>
      <c r="G996" s="789"/>
    </row>
    <row r="997" spans="5:7" ht="21" customHeight="1">
      <c r="E997" s="756" t="s">
        <v>451</v>
      </c>
      <c r="F997" s="756"/>
      <c r="G997" s="756"/>
    </row>
    <row r="998" spans="1:7" ht="21" customHeight="1">
      <c r="A998" s="754" t="s">
        <v>89</v>
      </c>
      <c r="B998" s="754"/>
      <c r="C998" s="754"/>
      <c r="D998" s="754"/>
      <c r="E998" s="754"/>
      <c r="F998" s="754"/>
      <c r="G998" s="754"/>
    </row>
    <row r="999" spans="1:4" ht="21" customHeight="1" thickBot="1">
      <c r="A999" s="174" t="s">
        <v>121</v>
      </c>
      <c r="B999" s="174"/>
      <c r="C999" s="174"/>
      <c r="D999" s="223"/>
    </row>
    <row r="1000" spans="1:7" ht="21" customHeight="1" thickBot="1">
      <c r="A1000" s="777" t="s">
        <v>52</v>
      </c>
      <c r="B1000" s="782"/>
      <c r="C1000" s="782"/>
      <c r="D1000" s="783"/>
      <c r="E1000" s="588" t="s">
        <v>47</v>
      </c>
      <c r="F1000" s="225" t="s">
        <v>9</v>
      </c>
      <c r="G1000" s="226" t="s">
        <v>10</v>
      </c>
    </row>
    <row r="1001" spans="1:7" ht="21" customHeight="1">
      <c r="A1001" s="185" t="s">
        <v>88</v>
      </c>
      <c r="B1001" s="186"/>
      <c r="C1001" s="186"/>
      <c r="D1001" s="186"/>
      <c r="E1001" s="589" t="s">
        <v>191</v>
      </c>
      <c r="F1001" s="605">
        <f>SUM(G1002:G1014)</f>
        <v>38095139.12</v>
      </c>
      <c r="G1001" s="228"/>
    </row>
    <row r="1002" spans="1:7" ht="21" customHeight="1">
      <c r="A1002" s="185"/>
      <c r="B1002" s="186" t="s">
        <v>45</v>
      </c>
      <c r="C1002" s="186"/>
      <c r="D1002" s="603"/>
      <c r="E1002" s="604" t="s">
        <v>253</v>
      </c>
      <c r="F1002" s="234"/>
      <c r="G1002" s="231">
        <f>'งบทดลอง '!C13</f>
        <v>6341186.64</v>
      </c>
    </row>
    <row r="1003" spans="1:7" ht="21" customHeight="1">
      <c r="A1003" s="185"/>
      <c r="B1003" s="186" t="s">
        <v>185</v>
      </c>
      <c r="C1003" s="186"/>
      <c r="D1003" s="603"/>
      <c r="E1003" s="604" t="s">
        <v>259</v>
      </c>
      <c r="F1003" s="404"/>
      <c r="G1003" s="231">
        <f>'งบทดลอง '!C15</f>
        <v>1968480</v>
      </c>
    </row>
    <row r="1004" spans="1:7" ht="21" customHeight="1">
      <c r="A1004" s="185"/>
      <c r="B1004" s="186" t="s">
        <v>551</v>
      </c>
      <c r="C1004" s="186"/>
      <c r="D1004" s="603"/>
      <c r="E1004" s="607">
        <v>522000</v>
      </c>
      <c r="F1004" s="404"/>
      <c r="G1004" s="231">
        <f>'งบทดลอง '!C16</f>
        <v>12576829.35</v>
      </c>
    </row>
    <row r="1005" spans="1:7" ht="21" customHeight="1">
      <c r="A1005" s="185"/>
      <c r="B1005" s="186" t="s">
        <v>0</v>
      </c>
      <c r="C1005" s="186"/>
      <c r="D1005" s="608"/>
      <c r="E1005" s="609">
        <v>531000</v>
      </c>
      <c r="F1005" s="404"/>
      <c r="G1005" s="231">
        <f>'งบทดลอง '!C17</f>
        <v>502570</v>
      </c>
    </row>
    <row r="1006" spans="1:7" ht="21" customHeight="1">
      <c r="A1006" s="185"/>
      <c r="B1006" s="186" t="s">
        <v>552</v>
      </c>
      <c r="C1006" s="186"/>
      <c r="D1006" s="608"/>
      <c r="E1006" s="610">
        <v>532000</v>
      </c>
      <c r="F1006" s="404"/>
      <c r="G1006" s="231">
        <f>'งบทดลอง '!C18</f>
        <v>4807352.25</v>
      </c>
    </row>
    <row r="1007" spans="1:7" ht="21" customHeight="1">
      <c r="A1007" s="638"/>
      <c r="B1007" s="639" t="s">
        <v>2</v>
      </c>
      <c r="C1007" s="639"/>
      <c r="D1007" s="613"/>
      <c r="E1007" s="610">
        <v>533000</v>
      </c>
      <c r="F1007" s="614"/>
      <c r="G1007" s="231">
        <f>'งบทดลอง '!C19</f>
        <v>1420479.2200000002</v>
      </c>
    </row>
    <row r="1008" spans="1:7" ht="21" customHeight="1">
      <c r="A1008" s="638"/>
      <c r="B1008" s="639" t="s">
        <v>3</v>
      </c>
      <c r="C1008" s="639"/>
      <c r="D1008" s="613"/>
      <c r="E1008" s="610">
        <v>534000</v>
      </c>
      <c r="F1008" s="614"/>
      <c r="G1008" s="231">
        <f>'งบทดลอง '!C20</f>
        <v>279284.95</v>
      </c>
    </row>
    <row r="1009" spans="1:7" ht="21" customHeight="1">
      <c r="A1009" s="638"/>
      <c r="B1009" s="639" t="s">
        <v>80</v>
      </c>
      <c r="C1009" s="639"/>
      <c r="D1009" s="613"/>
      <c r="E1009" s="646">
        <v>541000</v>
      </c>
      <c r="F1009" s="614"/>
      <c r="G1009" s="231">
        <v>349160</v>
      </c>
    </row>
    <row r="1010" spans="1:7" ht="21" customHeight="1">
      <c r="A1010" s="640"/>
      <c r="B1010" s="641" t="s">
        <v>5</v>
      </c>
      <c r="C1010" s="641"/>
      <c r="D1010" s="642"/>
      <c r="E1010" s="646">
        <v>542000</v>
      </c>
      <c r="F1010" s="614"/>
      <c r="G1010" s="231">
        <v>7965290</v>
      </c>
    </row>
    <row r="1011" spans="1:7" ht="21" customHeight="1">
      <c r="A1011" s="640"/>
      <c r="B1011" s="641" t="s">
        <v>39</v>
      </c>
      <c r="C1011" s="641"/>
      <c r="D1011" s="642"/>
      <c r="E1011" s="646">
        <v>551000</v>
      </c>
      <c r="F1011" s="614"/>
      <c r="G1011" s="231">
        <v>20000</v>
      </c>
    </row>
    <row r="1012" spans="1:7" ht="21" customHeight="1">
      <c r="A1012" s="640"/>
      <c r="B1012" s="641" t="s">
        <v>4</v>
      </c>
      <c r="C1012" s="641"/>
      <c r="D1012" s="642"/>
      <c r="E1012" s="647">
        <v>561000</v>
      </c>
      <c r="F1012" s="643"/>
      <c r="G1012" s="231">
        <v>1847891.58</v>
      </c>
    </row>
    <row r="1013" spans="1:7" ht="21" customHeight="1">
      <c r="A1013" s="640"/>
      <c r="B1013" s="641" t="s">
        <v>7</v>
      </c>
      <c r="C1013" s="641"/>
      <c r="D1013" s="642"/>
      <c r="E1013" s="647">
        <v>310000</v>
      </c>
      <c r="F1013" s="643"/>
      <c r="G1013" s="644">
        <v>12461.35</v>
      </c>
    </row>
    <row r="1014" spans="1:7" ht="21" customHeight="1">
      <c r="A1014" s="640"/>
      <c r="B1014" s="641" t="s">
        <v>556</v>
      </c>
      <c r="C1014" s="641"/>
      <c r="D1014" s="642"/>
      <c r="E1014" s="647">
        <v>320000</v>
      </c>
      <c r="F1014" s="643"/>
      <c r="G1014" s="644">
        <v>4153.78</v>
      </c>
    </row>
    <row r="1015" spans="1:7" ht="21" customHeight="1" thickBot="1">
      <c r="A1015" s="235"/>
      <c r="B1015" s="236"/>
      <c r="C1015" s="236"/>
      <c r="D1015" s="237"/>
      <c r="E1015" s="591"/>
      <c r="F1015" s="238">
        <f>SUM(F1001:F1014)</f>
        <v>38095139.12</v>
      </c>
      <c r="G1015" s="239">
        <f>SUM(G1002:G1014)</f>
        <v>38095139.12</v>
      </c>
    </row>
    <row r="1016" spans="1:9" ht="21" customHeight="1" thickBot="1" thickTop="1">
      <c r="A1016" s="158" t="s">
        <v>90</v>
      </c>
      <c r="B1016" s="649" t="s">
        <v>554</v>
      </c>
      <c r="C1016" s="650"/>
      <c r="D1016" s="651"/>
      <c r="E1016" s="652"/>
      <c r="F1016" s="655"/>
      <c r="G1016" s="654"/>
      <c r="H1016" s="656"/>
      <c r="I1016" s="657"/>
    </row>
    <row r="1017" spans="1:7" ht="21" customHeight="1">
      <c r="A1017" s="260"/>
      <c r="B1017" s="260"/>
      <c r="C1017" s="601"/>
      <c r="D1017" s="261"/>
      <c r="E1017" s="597"/>
      <c r="F1017" s="261"/>
      <c r="G1017" s="262"/>
    </row>
    <row r="1018" spans="1:7" ht="21" customHeight="1">
      <c r="A1018" s="254"/>
      <c r="B1018" s="254"/>
      <c r="C1018" s="159"/>
      <c r="D1018" s="171"/>
      <c r="E1018" s="539" t="s">
        <v>265</v>
      </c>
      <c r="F1018" s="159"/>
      <c r="G1018" s="171"/>
    </row>
    <row r="1019" spans="1:7" ht="21" customHeight="1">
      <c r="A1019" s="254"/>
      <c r="B1019" s="254"/>
      <c r="C1019" s="159"/>
      <c r="D1019" s="171"/>
      <c r="E1019" s="750" t="s">
        <v>169</v>
      </c>
      <c r="F1019" s="750"/>
      <c r="G1019" s="171"/>
    </row>
    <row r="1020" spans="1:7" ht="21" customHeight="1">
      <c r="A1020" s="254"/>
      <c r="B1020" s="254"/>
      <c r="C1020" s="159"/>
      <c r="D1020" s="750" t="s">
        <v>377</v>
      </c>
      <c r="E1020" s="750"/>
      <c r="F1020" s="750"/>
      <c r="G1020" s="750"/>
    </row>
    <row r="1021" spans="1:7" ht="21" customHeight="1">
      <c r="A1021" s="254"/>
      <c r="B1021" s="254"/>
      <c r="C1021" s="159"/>
      <c r="D1021" s="171"/>
      <c r="E1021" s="533"/>
      <c r="F1021" s="171"/>
      <c r="G1021" s="171"/>
    </row>
    <row r="1022" spans="1:7" ht="21" customHeight="1">
      <c r="A1022" s="254"/>
      <c r="B1022" s="254"/>
      <c r="C1022" s="159"/>
      <c r="D1022" s="171"/>
      <c r="E1022" s="796" t="s">
        <v>264</v>
      </c>
      <c r="F1022" s="796"/>
      <c r="G1022" s="171"/>
    </row>
    <row r="1023" spans="1:7" ht="21" customHeight="1">
      <c r="A1023" s="254"/>
      <c r="B1023" s="254"/>
      <c r="C1023" s="159"/>
      <c r="D1023" s="256"/>
      <c r="E1023" s="533"/>
      <c r="F1023" s="255"/>
      <c r="G1023" s="171"/>
    </row>
    <row r="1024" spans="1:7" ht="21" customHeight="1">
      <c r="A1024" s="254"/>
      <c r="B1024" s="254"/>
      <c r="C1024" s="159"/>
      <c r="D1024" s="171"/>
      <c r="E1024" s="539" t="s">
        <v>266</v>
      </c>
      <c r="F1024" s="159"/>
      <c r="G1024" s="171"/>
    </row>
    <row r="1025" spans="1:7" ht="21" customHeight="1">
      <c r="A1025" s="254"/>
      <c r="B1025" s="254"/>
      <c r="C1025" s="257"/>
      <c r="D1025" s="171"/>
      <c r="E1025" s="794" t="s">
        <v>402</v>
      </c>
      <c r="F1025" s="794"/>
      <c r="G1025" s="171"/>
    </row>
    <row r="1026" spans="1:7" ht="21" customHeight="1">
      <c r="A1026" s="254"/>
      <c r="B1026" s="254"/>
      <c r="C1026" s="240"/>
      <c r="D1026" s="795" t="s">
        <v>515</v>
      </c>
      <c r="E1026" s="795"/>
      <c r="F1026" s="795"/>
      <c r="G1026" s="795"/>
    </row>
    <row r="1027" spans="6:7" ht="21" customHeight="1">
      <c r="F1027" s="789" t="s">
        <v>621</v>
      </c>
      <c r="G1027" s="789"/>
    </row>
    <row r="1028" spans="5:7" ht="21" customHeight="1">
      <c r="E1028" s="756" t="s">
        <v>647</v>
      </c>
      <c r="F1028" s="756"/>
      <c r="G1028" s="756"/>
    </row>
    <row r="1029" spans="1:7" ht="21" customHeight="1">
      <c r="A1029" s="754" t="s">
        <v>89</v>
      </c>
      <c r="B1029" s="754"/>
      <c r="C1029" s="754"/>
      <c r="D1029" s="754"/>
      <c r="E1029" s="754"/>
      <c r="F1029" s="754"/>
      <c r="G1029" s="754"/>
    </row>
    <row r="1030" spans="1:4" ht="21" customHeight="1" thickBot="1">
      <c r="A1030" s="174" t="s">
        <v>121</v>
      </c>
      <c r="B1030" s="174"/>
      <c r="C1030" s="174"/>
      <c r="D1030" s="223"/>
    </row>
    <row r="1031" spans="1:7" ht="21" customHeight="1" thickBot="1">
      <c r="A1031" s="777" t="s">
        <v>52</v>
      </c>
      <c r="B1031" s="782"/>
      <c r="C1031" s="782"/>
      <c r="D1031" s="783"/>
      <c r="E1031" s="588" t="s">
        <v>47</v>
      </c>
      <c r="F1031" s="225" t="s">
        <v>9</v>
      </c>
      <c r="G1031" s="226" t="s">
        <v>10</v>
      </c>
    </row>
    <row r="1032" spans="1:7" ht="21" customHeight="1">
      <c r="A1032" s="185" t="s">
        <v>634</v>
      </c>
      <c r="B1032" s="186"/>
      <c r="C1032" s="186"/>
      <c r="D1032" s="186"/>
      <c r="E1032" s="589"/>
      <c r="F1032" s="227">
        <v>26840</v>
      </c>
      <c r="G1032" s="228"/>
    </row>
    <row r="1033" spans="1:7" ht="21" customHeight="1">
      <c r="A1033" s="185"/>
      <c r="B1033" s="186" t="s">
        <v>7</v>
      </c>
      <c r="C1033" s="186"/>
      <c r="E1033" s="590"/>
      <c r="F1033" s="230"/>
      <c r="G1033" s="231">
        <f>SUM(F1032:F1032)</f>
        <v>26840</v>
      </c>
    </row>
    <row r="1034" spans="1:7" ht="21" customHeight="1">
      <c r="A1034" s="232"/>
      <c r="B1034" s="233"/>
      <c r="C1034" s="233"/>
      <c r="D1034" s="233"/>
      <c r="E1034" s="590"/>
      <c r="F1034" s="230"/>
      <c r="G1034" s="231"/>
    </row>
    <row r="1035" spans="1:7" ht="21" customHeight="1">
      <c r="A1035" s="232"/>
      <c r="B1035" s="233"/>
      <c r="C1035" s="233"/>
      <c r="D1035" s="233"/>
      <c r="E1035" s="590"/>
      <c r="F1035" s="230"/>
      <c r="G1035" s="231"/>
    </row>
    <row r="1036" spans="1:7" ht="21" customHeight="1">
      <c r="A1036" s="232"/>
      <c r="B1036" s="233"/>
      <c r="C1036" s="233"/>
      <c r="D1036" s="233"/>
      <c r="E1036" s="590"/>
      <c r="F1036" s="230"/>
      <c r="G1036" s="231"/>
    </row>
    <row r="1037" spans="1:7" ht="21" customHeight="1">
      <c r="A1037" s="232"/>
      <c r="B1037" s="233"/>
      <c r="C1037" s="233"/>
      <c r="D1037" s="233"/>
      <c r="E1037" s="590"/>
      <c r="F1037" s="230"/>
      <c r="G1037" s="231"/>
    </row>
    <row r="1038" spans="1:7" ht="21" customHeight="1">
      <c r="A1038" s="232"/>
      <c r="B1038" s="233"/>
      <c r="C1038" s="233"/>
      <c r="D1038" s="233"/>
      <c r="E1038" s="590"/>
      <c r="F1038" s="234"/>
      <c r="G1038" s="231"/>
    </row>
    <row r="1039" spans="1:7" ht="21" customHeight="1">
      <c r="A1039" s="232"/>
      <c r="B1039" s="233"/>
      <c r="C1039" s="233"/>
      <c r="D1039" s="233"/>
      <c r="E1039" s="590"/>
      <c r="F1039" s="234"/>
      <c r="G1039" s="231"/>
    </row>
    <row r="1040" spans="1:7" ht="21" customHeight="1" thickBot="1">
      <c r="A1040" s="235"/>
      <c r="B1040" s="236"/>
      <c r="C1040" s="236"/>
      <c r="D1040" s="237"/>
      <c r="E1040" s="591"/>
      <c r="F1040" s="238">
        <f>SUM(F1032:F1033)</f>
        <v>26840</v>
      </c>
      <c r="G1040" s="239">
        <f>SUM(G1033:G1033)</f>
        <v>26840</v>
      </c>
    </row>
    <row r="1041" spans="1:7" ht="21" customHeight="1" thickTop="1">
      <c r="A1041" s="217" t="s">
        <v>90</v>
      </c>
      <c r="B1041" s="240" t="s">
        <v>631</v>
      </c>
      <c r="C1041" s="241"/>
      <c r="D1041" s="242"/>
      <c r="E1041" s="532"/>
      <c r="F1041" s="552"/>
      <c r="G1041" s="686"/>
    </row>
    <row r="1042" spans="1:7" ht="21" customHeight="1">
      <c r="A1042" s="244"/>
      <c r="B1042" s="240"/>
      <c r="C1042" s="241"/>
      <c r="D1042" s="242"/>
      <c r="E1042" s="532"/>
      <c r="F1042" s="171"/>
      <c r="G1042" s="683"/>
    </row>
    <row r="1043" spans="1:7" ht="21" customHeight="1">
      <c r="A1043" s="245">
        <v>1</v>
      </c>
      <c r="B1043" s="805" t="s">
        <v>630</v>
      </c>
      <c r="C1043" s="805"/>
      <c r="D1043" s="805"/>
      <c r="E1043" s="170" t="s">
        <v>46</v>
      </c>
      <c r="F1043" s="532">
        <v>26840</v>
      </c>
      <c r="G1043" s="683" t="s">
        <v>30</v>
      </c>
    </row>
    <row r="1044" spans="1:7" ht="21" customHeight="1">
      <c r="A1044" s="245"/>
      <c r="B1044" s="805"/>
      <c r="C1044" s="805"/>
      <c r="D1044" s="805"/>
      <c r="E1044" s="532"/>
      <c r="F1044" s="171"/>
      <c r="G1044" s="683"/>
    </row>
    <row r="1045" spans="1:7" ht="21" customHeight="1">
      <c r="A1045" s="245"/>
      <c r="B1045" s="240"/>
      <c r="C1045" s="247"/>
      <c r="D1045" s="170"/>
      <c r="E1045" s="537"/>
      <c r="F1045" s="171"/>
      <c r="G1045" s="683"/>
    </row>
    <row r="1046" spans="1:7" ht="21" customHeight="1">
      <c r="A1046" s="245"/>
      <c r="B1046" s="529"/>
      <c r="C1046" s="247"/>
      <c r="E1046" s="170"/>
      <c r="F1046" s="532"/>
      <c r="G1046" s="683"/>
    </row>
    <row r="1047" spans="1:7" ht="21" customHeight="1">
      <c r="A1047" s="245"/>
      <c r="B1047" s="807"/>
      <c r="C1047" s="807"/>
      <c r="D1047" s="807"/>
      <c r="E1047" s="170"/>
      <c r="F1047" s="537"/>
      <c r="G1047" s="683"/>
    </row>
    <row r="1048" spans="1:7" ht="21" customHeight="1" thickBot="1">
      <c r="A1048" s="251"/>
      <c r="B1048" s="648"/>
      <c r="C1048" s="255" t="s">
        <v>70</v>
      </c>
      <c r="D1048" s="219"/>
      <c r="E1048" s="680">
        <f>SUM(F1043:F1047)</f>
        <v>26840</v>
      </c>
      <c r="F1048" s="171"/>
      <c r="G1048" s="683"/>
    </row>
    <row r="1049" spans="1:7" ht="21" customHeight="1">
      <c r="A1049" s="763" t="s">
        <v>34</v>
      </c>
      <c r="B1049" s="764"/>
      <c r="C1049" s="784" t="s">
        <v>569</v>
      </c>
      <c r="D1049" s="785"/>
      <c r="E1049" s="786"/>
      <c r="F1049" s="787" t="s">
        <v>570</v>
      </c>
      <c r="G1049" s="788"/>
    </row>
    <row r="1050" spans="1:7" ht="21" customHeight="1">
      <c r="A1050" s="676"/>
      <c r="B1050" s="678"/>
      <c r="C1050" s="422"/>
      <c r="D1050" s="256"/>
      <c r="E1050" s="647"/>
      <c r="F1050" s="682"/>
      <c r="G1050" s="683"/>
    </row>
    <row r="1051" spans="1:7" ht="21" customHeight="1">
      <c r="A1051" s="676"/>
      <c r="B1051" s="678"/>
      <c r="C1051" s="422"/>
      <c r="D1051" s="171"/>
      <c r="E1051" s="681"/>
      <c r="F1051" s="422"/>
      <c r="G1051" s="683"/>
    </row>
    <row r="1052" spans="1:7" ht="21" customHeight="1">
      <c r="A1052" s="746" t="s">
        <v>571</v>
      </c>
      <c r="B1052" s="747"/>
      <c r="C1052" s="766" t="s">
        <v>170</v>
      </c>
      <c r="D1052" s="793"/>
      <c r="E1052" s="767"/>
      <c r="F1052" s="766" t="s">
        <v>571</v>
      </c>
      <c r="G1052" s="767"/>
    </row>
    <row r="1053" spans="1:7" ht="21" customHeight="1">
      <c r="A1053" s="748" t="s">
        <v>572</v>
      </c>
      <c r="B1053" s="749"/>
      <c r="C1053" s="790" t="s">
        <v>628</v>
      </c>
      <c r="D1053" s="791"/>
      <c r="E1053" s="792"/>
      <c r="F1053" s="779" t="s">
        <v>572</v>
      </c>
      <c r="G1053" s="780"/>
    </row>
  </sheetData>
  <sheetProtection/>
  <mergeCells count="321">
    <mergeCell ref="A1031:D1031"/>
    <mergeCell ref="B1043:D1043"/>
    <mergeCell ref="B1044:D1044"/>
    <mergeCell ref="A1053:B1053"/>
    <mergeCell ref="C1053:E1053"/>
    <mergeCell ref="C900:D900"/>
    <mergeCell ref="C901:D901"/>
    <mergeCell ref="C902:D902"/>
    <mergeCell ref="C903:D903"/>
    <mergeCell ref="E982:F982"/>
    <mergeCell ref="F1053:G1053"/>
    <mergeCell ref="B1047:D1047"/>
    <mergeCell ref="A1049:B1049"/>
    <mergeCell ref="C1049:E1049"/>
    <mergeCell ref="F1049:G1049"/>
    <mergeCell ref="A1052:B1052"/>
    <mergeCell ref="C1052:E1052"/>
    <mergeCell ref="F1052:G1052"/>
    <mergeCell ref="F1027:G1027"/>
    <mergeCell ref="E1028:G1028"/>
    <mergeCell ref="A1029:G1029"/>
    <mergeCell ref="D909:G909"/>
    <mergeCell ref="E911:F911"/>
    <mergeCell ref="E914:F914"/>
    <mergeCell ref="D915:G915"/>
    <mergeCell ref="E976:F976"/>
    <mergeCell ref="F918:G918"/>
    <mergeCell ref="E919:G919"/>
    <mergeCell ref="B63:D63"/>
    <mergeCell ref="A80:B80"/>
    <mergeCell ref="C80:E80"/>
    <mergeCell ref="A153:B153"/>
    <mergeCell ref="C153:E153"/>
    <mergeCell ref="A109:B109"/>
    <mergeCell ref="A112:B112"/>
    <mergeCell ref="C112:E112"/>
    <mergeCell ref="C904:D904"/>
    <mergeCell ref="E908:F908"/>
    <mergeCell ref="F879:G879"/>
    <mergeCell ref="E880:G880"/>
    <mergeCell ref="A881:G881"/>
    <mergeCell ref="A883:D883"/>
    <mergeCell ref="C896:D896"/>
    <mergeCell ref="C897:D897"/>
    <mergeCell ref="F2:G2"/>
    <mergeCell ref="E3:G3"/>
    <mergeCell ref="A4:G4"/>
    <mergeCell ref="A6:D6"/>
    <mergeCell ref="B18:D18"/>
    <mergeCell ref="A84:B84"/>
    <mergeCell ref="C84:E84"/>
    <mergeCell ref="F84:G84"/>
    <mergeCell ref="B20:D20"/>
    <mergeCell ref="A46:G46"/>
    <mergeCell ref="E676:F676"/>
    <mergeCell ref="D677:G677"/>
    <mergeCell ref="C662:D662"/>
    <mergeCell ref="C663:D663"/>
    <mergeCell ref="C664:D664"/>
    <mergeCell ref="C665:D665"/>
    <mergeCell ref="C666:D666"/>
    <mergeCell ref="D671:G671"/>
    <mergeCell ref="E670:F670"/>
    <mergeCell ref="C659:D659"/>
    <mergeCell ref="B19:D19"/>
    <mergeCell ref="B22:D22"/>
    <mergeCell ref="E673:F673"/>
    <mergeCell ref="F80:G80"/>
    <mergeCell ref="A83:B83"/>
    <mergeCell ref="C83:E83"/>
    <mergeCell ref="F83:G83"/>
    <mergeCell ref="A175:D175"/>
    <mergeCell ref="B187:D187"/>
    <mergeCell ref="E634:F634"/>
    <mergeCell ref="E637:F637"/>
    <mergeCell ref="D638:G638"/>
    <mergeCell ref="F641:G641"/>
    <mergeCell ref="A645:D645"/>
    <mergeCell ref="C658:D658"/>
    <mergeCell ref="E642:G642"/>
    <mergeCell ref="A643:G643"/>
    <mergeCell ref="C620:D620"/>
    <mergeCell ref="C623:D623"/>
    <mergeCell ref="C624:D624"/>
    <mergeCell ref="C625:D625"/>
    <mergeCell ref="C626:D626"/>
    <mergeCell ref="C627:D627"/>
    <mergeCell ref="E631:F631"/>
    <mergeCell ref="D632:G632"/>
    <mergeCell ref="E603:G603"/>
    <mergeCell ref="A604:G604"/>
    <mergeCell ref="A606:D606"/>
    <mergeCell ref="C512:D512"/>
    <mergeCell ref="C513:D513"/>
    <mergeCell ref="F602:G602"/>
    <mergeCell ref="F526:G526"/>
    <mergeCell ref="E527:G527"/>
    <mergeCell ref="C508:D508"/>
    <mergeCell ref="C509:D509"/>
    <mergeCell ref="D518:G518"/>
    <mergeCell ref="D524:G524"/>
    <mergeCell ref="C510:D510"/>
    <mergeCell ref="E481:F481"/>
    <mergeCell ref="D482:G482"/>
    <mergeCell ref="E484:F484"/>
    <mergeCell ref="E487:H487"/>
    <mergeCell ref="D488:G488"/>
    <mergeCell ref="A491:G491"/>
    <mergeCell ref="E490:G490"/>
    <mergeCell ref="F489:G489"/>
    <mergeCell ref="C511:D511"/>
    <mergeCell ref="F450:G450"/>
    <mergeCell ref="E451:G451"/>
    <mergeCell ref="A452:G452"/>
    <mergeCell ref="A454:D454"/>
    <mergeCell ref="C469:D469"/>
    <mergeCell ref="C470:D470"/>
    <mergeCell ref="C433:D433"/>
    <mergeCell ref="E442:F442"/>
    <mergeCell ref="D443:G443"/>
    <mergeCell ref="E445:F445"/>
    <mergeCell ref="E448:H448"/>
    <mergeCell ref="D449:G449"/>
    <mergeCell ref="E409:H409"/>
    <mergeCell ref="D410:G410"/>
    <mergeCell ref="F411:G411"/>
    <mergeCell ref="E412:G412"/>
    <mergeCell ref="A413:G413"/>
    <mergeCell ref="A415:D415"/>
    <mergeCell ref="A374:G374"/>
    <mergeCell ref="A376:D376"/>
    <mergeCell ref="C394:D394"/>
    <mergeCell ref="E403:F403"/>
    <mergeCell ref="D404:G404"/>
    <mergeCell ref="E406:F406"/>
    <mergeCell ref="D365:G365"/>
    <mergeCell ref="E367:F367"/>
    <mergeCell ref="E370:H370"/>
    <mergeCell ref="D371:G371"/>
    <mergeCell ref="F372:G372"/>
    <mergeCell ref="E373:G373"/>
    <mergeCell ref="D332:G332"/>
    <mergeCell ref="F333:G333"/>
    <mergeCell ref="E334:G334"/>
    <mergeCell ref="A335:G335"/>
    <mergeCell ref="A337:D337"/>
    <mergeCell ref="E364:F364"/>
    <mergeCell ref="C275:D275"/>
    <mergeCell ref="F294:G294"/>
    <mergeCell ref="C311:D311"/>
    <mergeCell ref="C313:D313"/>
    <mergeCell ref="F255:G255"/>
    <mergeCell ref="E256:G256"/>
    <mergeCell ref="A257:G257"/>
    <mergeCell ref="A259:D259"/>
    <mergeCell ref="E286:F286"/>
    <mergeCell ref="A298:D298"/>
    <mergeCell ref="D245:G245"/>
    <mergeCell ref="E238:F238"/>
    <mergeCell ref="E162:F162"/>
    <mergeCell ref="E165:H165"/>
    <mergeCell ref="D239:G239"/>
    <mergeCell ref="E241:F241"/>
    <mergeCell ref="E244:H244"/>
    <mergeCell ref="F171:G171"/>
    <mergeCell ref="E172:G172"/>
    <mergeCell ref="A173:G173"/>
    <mergeCell ref="A493:D493"/>
    <mergeCell ref="A132:G132"/>
    <mergeCell ref="A134:D134"/>
    <mergeCell ref="E159:F159"/>
    <mergeCell ref="D160:G160"/>
    <mergeCell ref="A154:B154"/>
    <mergeCell ref="C154:E154"/>
    <mergeCell ref="F154:G154"/>
    <mergeCell ref="D166:G166"/>
    <mergeCell ref="C310:D310"/>
    <mergeCell ref="E331:H331"/>
    <mergeCell ref="E523:H523"/>
    <mergeCell ref="E520:F520"/>
    <mergeCell ref="E517:F517"/>
    <mergeCell ref="E325:F325"/>
    <mergeCell ref="D326:G326"/>
    <mergeCell ref="E328:F328"/>
    <mergeCell ref="C314:D314"/>
    <mergeCell ref="D287:G287"/>
    <mergeCell ref="E289:F289"/>
    <mergeCell ref="E292:H292"/>
    <mergeCell ref="D293:G293"/>
    <mergeCell ref="E295:G295"/>
    <mergeCell ref="A296:G296"/>
    <mergeCell ref="A528:G528"/>
    <mergeCell ref="A530:D530"/>
    <mergeCell ref="C549:D549"/>
    <mergeCell ref="C545:D545"/>
    <mergeCell ref="C546:D546"/>
    <mergeCell ref="D561:G561"/>
    <mergeCell ref="C547:D547"/>
    <mergeCell ref="C548:D548"/>
    <mergeCell ref="D555:G555"/>
    <mergeCell ref="E557:F557"/>
    <mergeCell ref="C581:D581"/>
    <mergeCell ref="C584:D584"/>
    <mergeCell ref="C550:D550"/>
    <mergeCell ref="E554:F554"/>
    <mergeCell ref="E560:H560"/>
    <mergeCell ref="E564:G564"/>
    <mergeCell ref="A565:G565"/>
    <mergeCell ref="A567:D567"/>
    <mergeCell ref="C580:D580"/>
    <mergeCell ref="E595:F595"/>
    <mergeCell ref="F563:G563"/>
    <mergeCell ref="E598:F598"/>
    <mergeCell ref="D599:G599"/>
    <mergeCell ref="C585:D585"/>
    <mergeCell ref="C586:D586"/>
    <mergeCell ref="C587:D587"/>
    <mergeCell ref="C588:D588"/>
    <mergeCell ref="D593:G593"/>
    <mergeCell ref="E592:F592"/>
    <mergeCell ref="F680:G680"/>
    <mergeCell ref="E681:G681"/>
    <mergeCell ref="A682:G682"/>
    <mergeCell ref="A684:D684"/>
    <mergeCell ref="C697:D697"/>
    <mergeCell ref="C698:D698"/>
    <mergeCell ref="C701:D701"/>
    <mergeCell ref="C702:D702"/>
    <mergeCell ref="C703:D703"/>
    <mergeCell ref="C704:D704"/>
    <mergeCell ref="C705:D705"/>
    <mergeCell ref="E709:F709"/>
    <mergeCell ref="D710:G710"/>
    <mergeCell ref="E712:F712"/>
    <mergeCell ref="E715:F715"/>
    <mergeCell ref="D716:G716"/>
    <mergeCell ref="F719:G719"/>
    <mergeCell ref="E720:G720"/>
    <mergeCell ref="E753:G753"/>
    <mergeCell ref="A721:G721"/>
    <mergeCell ref="A723:D723"/>
    <mergeCell ref="E795:F795"/>
    <mergeCell ref="D796:G796"/>
    <mergeCell ref="E748:F748"/>
    <mergeCell ref="D749:G749"/>
    <mergeCell ref="E751:F751"/>
    <mergeCell ref="E754:F754"/>
    <mergeCell ref="E789:F789"/>
    <mergeCell ref="D830:G830"/>
    <mergeCell ref="D790:G790"/>
    <mergeCell ref="F799:G799"/>
    <mergeCell ref="E800:G800"/>
    <mergeCell ref="A801:G801"/>
    <mergeCell ref="A803:D803"/>
    <mergeCell ref="E792:F792"/>
    <mergeCell ref="D755:G755"/>
    <mergeCell ref="F759:G759"/>
    <mergeCell ref="E760:G760"/>
    <mergeCell ref="A761:G761"/>
    <mergeCell ref="A763:D763"/>
    <mergeCell ref="E829:F829"/>
    <mergeCell ref="E872:F872"/>
    <mergeCell ref="E832:F832"/>
    <mergeCell ref="E835:F835"/>
    <mergeCell ref="E875:F875"/>
    <mergeCell ref="D876:G876"/>
    <mergeCell ref="E840:G840"/>
    <mergeCell ref="B619:G619"/>
    <mergeCell ref="A841:G841"/>
    <mergeCell ref="A843:D843"/>
    <mergeCell ref="A844:D844"/>
    <mergeCell ref="E869:F869"/>
    <mergeCell ref="D870:G870"/>
    <mergeCell ref="F839:G839"/>
    <mergeCell ref="D836:G836"/>
    <mergeCell ref="A804:D804"/>
    <mergeCell ref="A806:D806"/>
    <mergeCell ref="D983:G983"/>
    <mergeCell ref="F996:G996"/>
    <mergeCell ref="E997:G997"/>
    <mergeCell ref="A920:G920"/>
    <mergeCell ref="A922:D922"/>
    <mergeCell ref="F28:G28"/>
    <mergeCell ref="D977:G977"/>
    <mergeCell ref="E979:F979"/>
    <mergeCell ref="A48:D48"/>
    <mergeCell ref="A28:B28"/>
    <mergeCell ref="E1025:F1025"/>
    <mergeCell ref="D1026:G1026"/>
    <mergeCell ref="E1019:F1019"/>
    <mergeCell ref="D1020:G1020"/>
    <mergeCell ref="E1022:F1022"/>
    <mergeCell ref="A998:G998"/>
    <mergeCell ref="A1000:D1000"/>
    <mergeCell ref="F86:G86"/>
    <mergeCell ref="A24:B24"/>
    <mergeCell ref="A27:B27"/>
    <mergeCell ref="F24:G24"/>
    <mergeCell ref="C24:E24"/>
    <mergeCell ref="C27:E27"/>
    <mergeCell ref="C28:E28"/>
    <mergeCell ref="F27:G27"/>
    <mergeCell ref="F44:G44"/>
    <mergeCell ref="E45:G45"/>
    <mergeCell ref="F153:G153"/>
    <mergeCell ref="F130:G130"/>
    <mergeCell ref="E131:G131"/>
    <mergeCell ref="A113:B113"/>
    <mergeCell ref="A150:B150"/>
    <mergeCell ref="C150:E150"/>
    <mergeCell ref="F150:G150"/>
    <mergeCell ref="C113:E113"/>
    <mergeCell ref="F113:G113"/>
    <mergeCell ref="F112:G112"/>
    <mergeCell ref="E87:G87"/>
    <mergeCell ref="A88:G88"/>
    <mergeCell ref="A90:D90"/>
    <mergeCell ref="C109:E109"/>
    <mergeCell ref="F109:G109"/>
  </mergeCells>
  <printOptions horizontalCentered="1"/>
  <pageMargins left="0.11811023622047245" right="0.11811023622047245" top="0.3937007874015748" bottom="0.3937007874015748" header="0.2362204724409449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R59"/>
  <sheetViews>
    <sheetView view="pageBreakPreview" zoomScale="74" zoomScaleSheetLayoutView="74" zoomScalePageLayoutView="0" workbookViewId="0" topLeftCell="A1">
      <selection activeCell="F43" sqref="F43"/>
    </sheetView>
  </sheetViews>
  <sheetFormatPr defaultColWidth="25.140625" defaultRowHeight="21.75"/>
  <cols>
    <col min="1" max="1" width="31.421875" style="269" customWidth="1"/>
    <col min="2" max="2" width="8.00390625" style="269" customWidth="1"/>
    <col min="3" max="3" width="13.8515625" style="389" customWidth="1"/>
    <col min="4" max="4" width="13.8515625" style="386" customWidth="1"/>
    <col min="5" max="5" width="12.7109375" style="387" bestFit="1" customWidth="1"/>
    <col min="6" max="6" width="12.7109375" style="375" bestFit="1" customWidth="1"/>
    <col min="7" max="7" width="12.7109375" style="376" bestFit="1" customWidth="1"/>
    <col min="8" max="8" width="12.7109375" style="377" bestFit="1" customWidth="1"/>
    <col min="9" max="9" width="12.00390625" style="378" customWidth="1"/>
    <col min="10" max="10" width="12.7109375" style="379" bestFit="1" customWidth="1"/>
    <col min="11" max="11" width="13.8515625" style="380" bestFit="1" customWidth="1"/>
    <col min="12" max="12" width="14.00390625" style="381" customWidth="1"/>
    <col min="13" max="13" width="15.00390625" style="293" customWidth="1"/>
    <col min="14" max="14" width="25.140625" style="293" customWidth="1"/>
    <col min="15" max="16384" width="25.140625" style="269" customWidth="1"/>
  </cols>
  <sheetData>
    <row r="1" spans="1:18" ht="21">
      <c r="A1" s="810" t="s">
        <v>737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266"/>
      <c r="N1" s="267"/>
      <c r="O1" s="268"/>
      <c r="P1" s="268"/>
      <c r="Q1" s="268"/>
      <c r="R1" s="268"/>
    </row>
    <row r="2" spans="1:12" s="281" customFormat="1" ht="21">
      <c r="A2" s="270" t="s">
        <v>8</v>
      </c>
      <c r="B2" s="270" t="s">
        <v>47</v>
      </c>
      <c r="C2" s="271" t="s">
        <v>9</v>
      </c>
      <c r="D2" s="272" t="s">
        <v>10</v>
      </c>
      <c r="E2" s="273" t="s">
        <v>161</v>
      </c>
      <c r="F2" s="274" t="s">
        <v>22</v>
      </c>
      <c r="G2" s="275" t="s">
        <v>19</v>
      </c>
      <c r="H2" s="276" t="s">
        <v>21</v>
      </c>
      <c r="I2" s="277" t="s">
        <v>162</v>
      </c>
      <c r="J2" s="278" t="s">
        <v>20</v>
      </c>
      <c r="K2" s="279" t="s">
        <v>23</v>
      </c>
      <c r="L2" s="280" t="s">
        <v>24</v>
      </c>
    </row>
    <row r="3" spans="1:14" ht="21">
      <c r="A3" s="282" t="s">
        <v>78</v>
      </c>
      <c r="B3" s="283">
        <v>111100</v>
      </c>
      <c r="C3" s="284">
        <v>0</v>
      </c>
      <c r="D3" s="284">
        <v>0</v>
      </c>
      <c r="E3" s="285">
        <v>0</v>
      </c>
      <c r="F3" s="286">
        <v>0</v>
      </c>
      <c r="G3" s="287">
        <f>'ใบผ่านรายการ 1 '!G6</f>
        <v>8854.6</v>
      </c>
      <c r="H3" s="288">
        <f>'ใบผ่านรายการ 1 '!H6</f>
        <v>8854.6</v>
      </c>
      <c r="I3" s="289">
        <v>0</v>
      </c>
      <c r="J3" s="290">
        <v>0</v>
      </c>
      <c r="K3" s="291">
        <f>C3+E3+G3+I3-D3-F3-H3-J3</f>
        <v>0</v>
      </c>
      <c r="L3" s="292">
        <v>0</v>
      </c>
      <c r="N3" s="269"/>
    </row>
    <row r="4" spans="1:14" ht="21">
      <c r="A4" s="282" t="s">
        <v>25</v>
      </c>
      <c r="B4" s="283">
        <v>111203</v>
      </c>
      <c r="C4" s="284">
        <v>2245743.76</v>
      </c>
      <c r="D4" s="284">
        <v>0</v>
      </c>
      <c r="E4" s="285">
        <v>0</v>
      </c>
      <c r="F4" s="294">
        <f>ใบผ่านทั่วไป!G50</f>
        <v>2258106.4199999995</v>
      </c>
      <c r="G4" s="295">
        <f>'ใบผ่านรายการ 1 '!G7</f>
        <v>3361885.32</v>
      </c>
      <c r="H4" s="296">
        <v>0</v>
      </c>
      <c r="I4" s="289">
        <v>0</v>
      </c>
      <c r="J4" s="297">
        <v>0</v>
      </c>
      <c r="K4" s="291">
        <f>C4+E4+G4+I4-D4-F4-H4-J4</f>
        <v>3349522.6600000006</v>
      </c>
      <c r="L4" s="298">
        <v>0</v>
      </c>
      <c r="M4" s="269"/>
      <c r="N4" s="299"/>
    </row>
    <row r="5" spans="1:14" ht="21">
      <c r="A5" s="282" t="s">
        <v>102</v>
      </c>
      <c r="B5" s="300" t="s">
        <v>242</v>
      </c>
      <c r="C5" s="284">
        <v>32738219.34</v>
      </c>
      <c r="D5" s="284">
        <v>0</v>
      </c>
      <c r="E5" s="285">
        <f>ใบผ่านทั่วไป!F49</f>
        <v>2258106.4199999995</v>
      </c>
      <c r="F5" s="294">
        <v>0</v>
      </c>
      <c r="G5" s="295">
        <f>'ใบผ่านรายการ 1 '!G8</f>
        <v>145068.03</v>
      </c>
      <c r="H5" s="296">
        <v>0</v>
      </c>
      <c r="I5" s="289">
        <v>0</v>
      </c>
      <c r="J5" s="297">
        <f>'ใบผ่านรายการ  2'!F46</f>
        <v>3127434.28</v>
      </c>
      <c r="K5" s="291">
        <f>C5+E5+G5+I5-D5-F5-H5-J5</f>
        <v>32013959.509999998</v>
      </c>
      <c r="L5" s="298">
        <v>0</v>
      </c>
      <c r="M5" s="299"/>
      <c r="N5" s="301">
        <f>SUM(K4:K8)+K10</f>
        <v>36664992</v>
      </c>
    </row>
    <row r="6" spans="1:14" ht="21">
      <c r="A6" s="302" t="s">
        <v>131</v>
      </c>
      <c r="B6" s="264">
        <v>111202</v>
      </c>
      <c r="C6" s="284">
        <v>957762.87</v>
      </c>
      <c r="D6" s="284">
        <v>0</v>
      </c>
      <c r="E6" s="303">
        <v>0</v>
      </c>
      <c r="F6" s="294">
        <v>0</v>
      </c>
      <c r="G6" s="295">
        <f>'ใบผ่านรายการ 1 '!G9</f>
        <v>0</v>
      </c>
      <c r="H6" s="296">
        <v>0</v>
      </c>
      <c r="I6" s="289">
        <v>0</v>
      </c>
      <c r="J6" s="297">
        <v>0</v>
      </c>
      <c r="K6" s="291">
        <f aca="true" t="shared" si="0" ref="K6:K31">C6+E6+G6+I6-D6-F6-H6-J6</f>
        <v>957762.87</v>
      </c>
      <c r="L6" s="298">
        <v>0</v>
      </c>
      <c r="M6" s="269"/>
      <c r="N6" s="269"/>
    </row>
    <row r="7" spans="1:14" ht="21">
      <c r="A7" s="302" t="s">
        <v>134</v>
      </c>
      <c r="B7" s="264" t="s">
        <v>239</v>
      </c>
      <c r="C7" s="284">
        <v>76.99</v>
      </c>
      <c r="D7" s="284">
        <v>0</v>
      </c>
      <c r="E7" s="285">
        <v>0</v>
      </c>
      <c r="F7" s="294">
        <v>0</v>
      </c>
      <c r="G7" s="295">
        <f>'ใบผ่านรายการ 1 '!G10</f>
        <v>0</v>
      </c>
      <c r="H7" s="296">
        <v>0</v>
      </c>
      <c r="I7" s="289">
        <v>0</v>
      </c>
      <c r="J7" s="297">
        <v>0</v>
      </c>
      <c r="K7" s="291">
        <f t="shared" si="0"/>
        <v>76.99</v>
      </c>
      <c r="L7" s="298">
        <v>0</v>
      </c>
      <c r="M7" s="299">
        <f>SUM(C3:C8)</f>
        <v>36274972.93</v>
      </c>
      <c r="N7" s="269"/>
    </row>
    <row r="8" spans="1:14" ht="21">
      <c r="A8" s="302" t="s">
        <v>122</v>
      </c>
      <c r="B8" s="304" t="s">
        <v>244</v>
      </c>
      <c r="C8" s="284">
        <v>333169.97</v>
      </c>
      <c r="D8" s="284">
        <v>0</v>
      </c>
      <c r="E8" s="285">
        <v>0</v>
      </c>
      <c r="F8" s="294">
        <v>0</v>
      </c>
      <c r="G8" s="295">
        <f>'ใบผ่านรายการ 1 '!G11</f>
        <v>0</v>
      </c>
      <c r="H8" s="296">
        <v>0</v>
      </c>
      <c r="I8" s="289">
        <v>0</v>
      </c>
      <c r="J8" s="297">
        <f>'ใบผ่านรายการ  2'!F47</f>
        <v>0</v>
      </c>
      <c r="K8" s="291">
        <f t="shared" si="0"/>
        <v>333169.97</v>
      </c>
      <c r="L8" s="298">
        <v>0</v>
      </c>
      <c r="M8" s="299">
        <f>SUM(K3:K8)</f>
        <v>36654492</v>
      </c>
      <c r="N8" s="269"/>
    </row>
    <row r="9" spans="1:14" ht="21">
      <c r="A9" s="302" t="s">
        <v>43</v>
      </c>
      <c r="B9" s="264">
        <v>112002</v>
      </c>
      <c r="C9" s="284">
        <v>5246321.23</v>
      </c>
      <c r="D9" s="284">
        <v>0</v>
      </c>
      <c r="E9" s="305">
        <v>0</v>
      </c>
      <c r="F9" s="294"/>
      <c r="G9" s="295">
        <v>0</v>
      </c>
      <c r="H9" s="296">
        <v>0</v>
      </c>
      <c r="I9" s="289">
        <f>'ใบผ่านรายการ  2'!E44</f>
        <v>0</v>
      </c>
      <c r="J9" s="297">
        <v>0</v>
      </c>
      <c r="K9" s="291">
        <f t="shared" si="0"/>
        <v>5246321.23</v>
      </c>
      <c r="L9" s="298">
        <v>0</v>
      </c>
      <c r="M9" s="269"/>
      <c r="N9" s="269"/>
    </row>
    <row r="10" spans="1:14" ht="21">
      <c r="A10" s="302" t="s">
        <v>249</v>
      </c>
      <c r="B10" s="263" t="s">
        <v>250</v>
      </c>
      <c r="C10" s="284">
        <v>10500</v>
      </c>
      <c r="D10" s="306">
        <v>0</v>
      </c>
      <c r="E10" s="305">
        <v>0</v>
      </c>
      <c r="F10" s="294">
        <v>0</v>
      </c>
      <c r="G10" s="295">
        <v>0</v>
      </c>
      <c r="H10" s="296">
        <f>'ใบผ่านรายการ 1 '!H14</f>
        <v>0</v>
      </c>
      <c r="I10" s="307"/>
      <c r="J10" s="297"/>
      <c r="K10" s="291">
        <f>C10+E10+G10+I10-D10-F10-H10-J10</f>
        <v>10500</v>
      </c>
      <c r="L10" s="298"/>
      <c r="M10" s="269"/>
      <c r="N10" s="269"/>
    </row>
    <row r="11" spans="1:12" s="313" customFormat="1" ht="21">
      <c r="A11" s="282" t="s">
        <v>45</v>
      </c>
      <c r="B11" s="283">
        <v>511000</v>
      </c>
      <c r="C11" s="284">
        <v>5719512.89</v>
      </c>
      <c r="D11" s="284">
        <v>0</v>
      </c>
      <c r="E11" s="308">
        <f>ใบผ่านทั่วไป!F7</f>
        <v>473300</v>
      </c>
      <c r="F11" s="309">
        <v>0</v>
      </c>
      <c r="G11" s="295">
        <v>0</v>
      </c>
      <c r="H11" s="318">
        <f>'ใบผ่านรายการ 1 '!H32</f>
        <v>0</v>
      </c>
      <c r="I11" s="310">
        <f>'ใบผ่านรายการ  2'!E6</f>
        <v>148373.75</v>
      </c>
      <c r="J11" s="311">
        <v>0</v>
      </c>
      <c r="K11" s="291">
        <f>C11+E11+G11+I11-D11-F11-H11-J11</f>
        <v>6341186.64</v>
      </c>
      <c r="L11" s="312">
        <v>0</v>
      </c>
    </row>
    <row r="12" spans="1:12" s="313" customFormat="1" ht="21">
      <c r="A12" s="314" t="s">
        <v>221</v>
      </c>
      <c r="B12" s="315">
        <v>511000</v>
      </c>
      <c r="C12" s="316">
        <v>63706</v>
      </c>
      <c r="D12" s="317">
        <v>0</v>
      </c>
      <c r="E12" s="317">
        <v>0</v>
      </c>
      <c r="F12" s="317">
        <v>0</v>
      </c>
      <c r="G12" s="318">
        <v>0</v>
      </c>
      <c r="H12" s="318">
        <v>0</v>
      </c>
      <c r="I12" s="318">
        <f>'ใบผ่านรายการ  2'!E7</f>
        <v>7963.25</v>
      </c>
      <c r="J12" s="317">
        <v>0</v>
      </c>
      <c r="K12" s="316">
        <f>C12+E12+G12+I12-D12-F12-H12-J12</f>
        <v>71669.25</v>
      </c>
      <c r="L12" s="317">
        <v>0</v>
      </c>
    </row>
    <row r="13" spans="1:12" s="313" customFormat="1" ht="21">
      <c r="A13" s="302" t="s">
        <v>185</v>
      </c>
      <c r="B13" s="264">
        <v>521000</v>
      </c>
      <c r="C13" s="284">
        <v>1749760</v>
      </c>
      <c r="D13" s="321">
        <v>0</v>
      </c>
      <c r="E13" s="308"/>
      <c r="F13" s="309"/>
      <c r="G13" s="295">
        <v>0</v>
      </c>
      <c r="H13" s="296">
        <v>0</v>
      </c>
      <c r="I13" s="322">
        <f>'ใบผ่านรายการ  2'!E8</f>
        <v>218720</v>
      </c>
      <c r="J13" s="311">
        <v>0</v>
      </c>
      <c r="K13" s="291">
        <f>C13+E13+G13+I13-D13-F13-H13-J13</f>
        <v>1968480</v>
      </c>
      <c r="L13" s="323">
        <v>0</v>
      </c>
    </row>
    <row r="14" spans="1:12" s="313" customFormat="1" ht="21">
      <c r="A14" s="302" t="s">
        <v>187</v>
      </c>
      <c r="B14" s="264">
        <v>522000</v>
      </c>
      <c r="C14" s="284">
        <v>7860439.35</v>
      </c>
      <c r="D14" s="321">
        <v>0</v>
      </c>
      <c r="E14" s="308">
        <v>0</v>
      </c>
      <c r="F14" s="309">
        <v>0</v>
      </c>
      <c r="G14" s="295">
        <v>0</v>
      </c>
      <c r="H14" s="296">
        <v>0</v>
      </c>
      <c r="I14" s="322">
        <f>'ใบผ่านรายการ  2'!E9</f>
        <v>948505</v>
      </c>
      <c r="J14" s="311">
        <v>0</v>
      </c>
      <c r="K14" s="291">
        <f t="shared" si="0"/>
        <v>8808944.35</v>
      </c>
      <c r="L14" s="323">
        <v>0</v>
      </c>
    </row>
    <row r="15" spans="1:13" s="320" customFormat="1" ht="21">
      <c r="A15" s="324" t="s">
        <v>210</v>
      </c>
      <c r="B15" s="325">
        <v>522000</v>
      </c>
      <c r="C15" s="316">
        <v>0</v>
      </c>
      <c r="D15" s="317">
        <v>0</v>
      </c>
      <c r="E15" s="317">
        <v>0</v>
      </c>
      <c r="F15" s="317">
        <v>0</v>
      </c>
      <c r="G15" s="318">
        <v>0</v>
      </c>
      <c r="H15" s="318">
        <v>0</v>
      </c>
      <c r="I15" s="318">
        <v>0</v>
      </c>
      <c r="J15" s="317">
        <v>0</v>
      </c>
      <c r="K15" s="316">
        <f t="shared" si="0"/>
        <v>0</v>
      </c>
      <c r="L15" s="317">
        <v>0</v>
      </c>
      <c r="M15" s="319">
        <f>SUM(K13:K15)</f>
        <v>10777424.35</v>
      </c>
    </row>
    <row r="16" spans="1:12" s="313" customFormat="1" ht="21">
      <c r="A16" s="302" t="s">
        <v>188</v>
      </c>
      <c r="B16" s="264">
        <v>522000</v>
      </c>
      <c r="C16" s="284">
        <v>601760</v>
      </c>
      <c r="D16" s="321">
        <v>0</v>
      </c>
      <c r="E16" s="308">
        <v>0</v>
      </c>
      <c r="F16" s="309">
        <v>0</v>
      </c>
      <c r="G16" s="295">
        <v>0</v>
      </c>
      <c r="H16" s="296">
        <f>'ใบผ่านรายการ 1 '!H29</f>
        <v>0</v>
      </c>
      <c r="I16" s="322">
        <f>'ใบผ่านรายการ  2'!E10</f>
        <v>76480</v>
      </c>
      <c r="J16" s="311">
        <v>0</v>
      </c>
      <c r="K16" s="291">
        <f t="shared" si="0"/>
        <v>678240</v>
      </c>
      <c r="L16" s="323">
        <v>0</v>
      </c>
    </row>
    <row r="17" spans="1:13" s="320" customFormat="1" ht="21">
      <c r="A17" s="326" t="s">
        <v>211</v>
      </c>
      <c r="B17" s="325">
        <v>522000</v>
      </c>
      <c r="C17" s="316">
        <v>0</v>
      </c>
      <c r="D17" s="317">
        <v>0</v>
      </c>
      <c r="E17" s="317">
        <v>0</v>
      </c>
      <c r="F17" s="317">
        <v>0</v>
      </c>
      <c r="G17" s="318">
        <v>0</v>
      </c>
      <c r="H17" s="318">
        <v>0</v>
      </c>
      <c r="I17" s="318">
        <v>0</v>
      </c>
      <c r="J17" s="317">
        <v>0</v>
      </c>
      <c r="K17" s="316">
        <f t="shared" si="0"/>
        <v>0</v>
      </c>
      <c r="L17" s="317">
        <v>0</v>
      </c>
      <c r="M17" s="319">
        <f>SUM(K16:K17)</f>
        <v>678240</v>
      </c>
    </row>
    <row r="18" spans="1:14" s="313" customFormat="1" ht="21">
      <c r="A18" s="302" t="s">
        <v>189</v>
      </c>
      <c r="B18" s="264">
        <v>522000</v>
      </c>
      <c r="C18" s="284">
        <v>2765240</v>
      </c>
      <c r="D18" s="321">
        <v>0</v>
      </c>
      <c r="E18" s="308">
        <v>0</v>
      </c>
      <c r="F18" s="309">
        <f>ใบผ่านทั่วไป!G136</f>
        <v>0</v>
      </c>
      <c r="G18" s="295">
        <v>0</v>
      </c>
      <c r="H18" s="296">
        <v>0</v>
      </c>
      <c r="I18" s="322">
        <f>'ใบผ่านรายการ  2'!E11</f>
        <v>324405</v>
      </c>
      <c r="J18" s="311">
        <v>0</v>
      </c>
      <c r="K18" s="291">
        <f t="shared" si="0"/>
        <v>3089645</v>
      </c>
      <c r="L18" s="323">
        <v>0</v>
      </c>
      <c r="N18" s="327">
        <f>SUM(K14:K19)</f>
        <v>12576829.35</v>
      </c>
    </row>
    <row r="19" spans="1:13" s="320" customFormat="1" ht="21">
      <c r="A19" s="324" t="s">
        <v>208</v>
      </c>
      <c r="B19" s="325">
        <v>522000</v>
      </c>
      <c r="C19" s="316">
        <v>0</v>
      </c>
      <c r="D19" s="317">
        <v>0</v>
      </c>
      <c r="E19" s="317">
        <v>0</v>
      </c>
      <c r="F19" s="317">
        <v>0</v>
      </c>
      <c r="G19" s="318">
        <v>0</v>
      </c>
      <c r="H19" s="318">
        <v>0</v>
      </c>
      <c r="I19" s="318">
        <v>0</v>
      </c>
      <c r="J19" s="317">
        <v>0</v>
      </c>
      <c r="K19" s="316">
        <f t="shared" si="0"/>
        <v>0</v>
      </c>
      <c r="L19" s="317">
        <v>0</v>
      </c>
      <c r="M19" s="319">
        <f>SUM(K18:K19)</f>
        <v>3089645</v>
      </c>
    </row>
    <row r="20" spans="1:14" s="313" customFormat="1" ht="21">
      <c r="A20" s="302" t="s">
        <v>0</v>
      </c>
      <c r="B20" s="264">
        <v>531000</v>
      </c>
      <c r="C20" s="284">
        <v>315050</v>
      </c>
      <c r="D20" s="321">
        <v>0</v>
      </c>
      <c r="E20" s="308">
        <v>0</v>
      </c>
      <c r="F20" s="309">
        <v>0</v>
      </c>
      <c r="G20" s="295">
        <v>0</v>
      </c>
      <c r="H20" s="296">
        <v>0</v>
      </c>
      <c r="I20" s="322">
        <f>'ใบผ่านรายการ  2'!E12</f>
        <v>26950</v>
      </c>
      <c r="J20" s="311">
        <v>0</v>
      </c>
      <c r="K20" s="291">
        <f t="shared" si="0"/>
        <v>342000</v>
      </c>
      <c r="L20" s="323">
        <v>0</v>
      </c>
      <c r="N20" s="327">
        <f>SUM(G11:G31)</f>
        <v>0</v>
      </c>
    </row>
    <row r="21" spans="1:14" s="320" customFormat="1" ht="21">
      <c r="A21" s="324" t="s">
        <v>209</v>
      </c>
      <c r="B21" s="325">
        <v>531000</v>
      </c>
      <c r="C21" s="316">
        <v>144200</v>
      </c>
      <c r="D21" s="317">
        <v>0</v>
      </c>
      <c r="E21" s="318">
        <v>0</v>
      </c>
      <c r="F21" s="317">
        <v>0</v>
      </c>
      <c r="G21" s="318">
        <v>0</v>
      </c>
      <c r="H21" s="318">
        <v>0</v>
      </c>
      <c r="I21" s="318">
        <f>'ใบผ่านรายการ  2'!E13</f>
        <v>16370</v>
      </c>
      <c r="J21" s="317">
        <v>0</v>
      </c>
      <c r="K21" s="316">
        <f t="shared" si="0"/>
        <v>160570</v>
      </c>
      <c r="L21" s="317">
        <v>0</v>
      </c>
      <c r="M21" s="319">
        <f>SUM(K20:K21)</f>
        <v>502570</v>
      </c>
      <c r="N21" s="319"/>
    </row>
    <row r="22" spans="1:12" s="313" customFormat="1" ht="21">
      <c r="A22" s="302" t="s">
        <v>1</v>
      </c>
      <c r="B22" s="264">
        <v>532000</v>
      </c>
      <c r="C22" s="284">
        <v>4374191.97</v>
      </c>
      <c r="D22" s="321">
        <v>0</v>
      </c>
      <c r="E22" s="308">
        <f>ใบผ่านทั่วไป!F91</f>
        <v>27000</v>
      </c>
      <c r="F22" s="309">
        <v>0</v>
      </c>
      <c r="G22" s="295">
        <v>0</v>
      </c>
      <c r="H22" s="296">
        <f>'ใบผ่านรายการ 1 '!H35</f>
        <v>0</v>
      </c>
      <c r="I22" s="328">
        <f>'ใบผ่านรายการ  2'!E14</f>
        <v>406160.28</v>
      </c>
      <c r="J22" s="311">
        <v>0</v>
      </c>
      <c r="K22" s="291">
        <f t="shared" si="0"/>
        <v>4807352.25</v>
      </c>
      <c r="L22" s="323">
        <v>0</v>
      </c>
    </row>
    <row r="23" spans="1:13" s="320" customFormat="1" ht="21">
      <c r="A23" s="324" t="s">
        <v>212</v>
      </c>
      <c r="B23" s="325">
        <v>532000</v>
      </c>
      <c r="C23" s="316">
        <v>0</v>
      </c>
      <c r="D23" s="317">
        <v>0</v>
      </c>
      <c r="E23" s="317">
        <v>0</v>
      </c>
      <c r="F23" s="317">
        <v>0</v>
      </c>
      <c r="G23" s="318">
        <v>0</v>
      </c>
      <c r="H23" s="318">
        <v>0</v>
      </c>
      <c r="I23" s="318">
        <v>0</v>
      </c>
      <c r="J23" s="317">
        <v>0</v>
      </c>
      <c r="K23" s="316">
        <f t="shared" si="0"/>
        <v>0</v>
      </c>
      <c r="L23" s="317">
        <v>0</v>
      </c>
      <c r="M23" s="319">
        <f>SUM(K22:K23)</f>
        <v>4807352.25</v>
      </c>
    </row>
    <row r="24" spans="1:12" s="313" customFormat="1" ht="21">
      <c r="A24" s="302" t="s">
        <v>2</v>
      </c>
      <c r="B24" s="264">
        <v>533000</v>
      </c>
      <c r="C24" s="284">
        <v>1370107.6</v>
      </c>
      <c r="D24" s="321">
        <v>0</v>
      </c>
      <c r="E24" s="308">
        <v>0</v>
      </c>
      <c r="F24" s="309">
        <v>0</v>
      </c>
      <c r="G24" s="295">
        <v>0</v>
      </c>
      <c r="H24" s="296">
        <v>0</v>
      </c>
      <c r="I24" s="322">
        <f>'ใบผ่านรายการ  2'!E15</f>
        <v>50371.62</v>
      </c>
      <c r="J24" s="311">
        <v>0</v>
      </c>
      <c r="K24" s="291">
        <f t="shared" si="0"/>
        <v>1420479.2200000002</v>
      </c>
      <c r="L24" s="323">
        <v>0</v>
      </c>
    </row>
    <row r="25" spans="1:13" s="320" customFormat="1" ht="21">
      <c r="A25" s="324" t="s">
        <v>213</v>
      </c>
      <c r="B25" s="325">
        <v>533000</v>
      </c>
      <c r="C25" s="316">
        <v>0</v>
      </c>
      <c r="D25" s="317">
        <v>0</v>
      </c>
      <c r="E25" s="317">
        <v>0</v>
      </c>
      <c r="F25" s="317">
        <v>0</v>
      </c>
      <c r="G25" s="318">
        <v>0</v>
      </c>
      <c r="H25" s="318">
        <v>0</v>
      </c>
      <c r="I25" s="318">
        <v>0</v>
      </c>
      <c r="J25" s="317">
        <v>0</v>
      </c>
      <c r="K25" s="316">
        <f t="shared" si="0"/>
        <v>0</v>
      </c>
      <c r="L25" s="317">
        <v>0</v>
      </c>
      <c r="M25" s="319">
        <f>SUM(K24:K25)</f>
        <v>1420479.2200000002</v>
      </c>
    </row>
    <row r="26" spans="1:12" s="313" customFormat="1" ht="21">
      <c r="A26" s="302" t="s">
        <v>3</v>
      </c>
      <c r="B26" s="264">
        <v>534000</v>
      </c>
      <c r="C26" s="284">
        <v>242825.22</v>
      </c>
      <c r="D26" s="321">
        <v>0</v>
      </c>
      <c r="E26" s="308">
        <v>0</v>
      </c>
      <c r="F26" s="309">
        <v>0</v>
      </c>
      <c r="G26" s="295">
        <v>0</v>
      </c>
      <c r="H26" s="296">
        <f>'ใบผ่านรายการ 1 '!H30</f>
        <v>0</v>
      </c>
      <c r="I26" s="322">
        <f>'ใบผ่านรายการ  2'!E16</f>
        <v>36459.73</v>
      </c>
      <c r="J26" s="311">
        <v>0</v>
      </c>
      <c r="K26" s="291">
        <f t="shared" si="0"/>
        <v>279284.95</v>
      </c>
      <c r="L26" s="323">
        <v>0</v>
      </c>
    </row>
    <row r="27" spans="1:12" s="313" customFormat="1" ht="21">
      <c r="A27" s="302" t="s">
        <v>80</v>
      </c>
      <c r="B27" s="264">
        <v>541000</v>
      </c>
      <c r="C27" s="284">
        <v>381559</v>
      </c>
      <c r="D27" s="321">
        <v>0</v>
      </c>
      <c r="E27" s="308">
        <v>0</v>
      </c>
      <c r="F27" s="309">
        <v>0</v>
      </c>
      <c r="G27" s="295">
        <v>0</v>
      </c>
      <c r="H27" s="296">
        <v>0</v>
      </c>
      <c r="I27" s="322">
        <f>'ใบผ่านรายการ  2'!E18</f>
        <v>3500</v>
      </c>
      <c r="J27" s="311">
        <v>0</v>
      </c>
      <c r="K27" s="291">
        <f t="shared" si="0"/>
        <v>385059</v>
      </c>
      <c r="L27" s="323">
        <v>0</v>
      </c>
    </row>
    <row r="28" spans="1:12" s="313" customFormat="1" ht="21">
      <c r="A28" s="302" t="s">
        <v>38</v>
      </c>
      <c r="B28" s="264">
        <v>542000</v>
      </c>
      <c r="C28" s="284">
        <v>491000</v>
      </c>
      <c r="D28" s="321">
        <v>0</v>
      </c>
      <c r="E28" s="308">
        <v>0</v>
      </c>
      <c r="F28" s="309">
        <v>0</v>
      </c>
      <c r="G28" s="295">
        <v>0</v>
      </c>
      <c r="H28" s="296">
        <v>0</v>
      </c>
      <c r="I28" s="322">
        <f>'ใบผ่านรายการ  2'!E19</f>
        <v>0</v>
      </c>
      <c r="J28" s="311">
        <v>0</v>
      </c>
      <c r="K28" s="291">
        <f>C28+E28+G28+I28-D28-F28-H28-J28</f>
        <v>491000</v>
      </c>
      <c r="L28" s="323">
        <v>0</v>
      </c>
    </row>
    <row r="29" spans="1:13" s="313" customFormat="1" ht="21">
      <c r="A29" s="329" t="s">
        <v>235</v>
      </c>
      <c r="B29" s="264">
        <v>542000</v>
      </c>
      <c r="C29" s="284">
        <v>0</v>
      </c>
      <c r="D29" s="321">
        <v>0</v>
      </c>
      <c r="E29" s="308">
        <v>0</v>
      </c>
      <c r="F29" s="309"/>
      <c r="G29" s="295">
        <v>0</v>
      </c>
      <c r="H29" s="296"/>
      <c r="I29" s="322">
        <f>'ใบผ่านรายการ  2'!E21</f>
        <v>0</v>
      </c>
      <c r="J29" s="311">
        <v>0</v>
      </c>
      <c r="K29" s="291">
        <f>C29+E29+G29+I29-D29-F29-H29-J29</f>
        <v>0</v>
      </c>
      <c r="L29" s="323">
        <v>0</v>
      </c>
      <c r="M29" s="327">
        <f>SUM(K28:K30)</f>
        <v>491000</v>
      </c>
    </row>
    <row r="30" spans="1:12" s="313" customFormat="1" ht="21">
      <c r="A30" s="329" t="s">
        <v>305</v>
      </c>
      <c r="B30" s="264">
        <v>542000</v>
      </c>
      <c r="C30" s="284">
        <v>0</v>
      </c>
      <c r="D30" s="321">
        <v>0</v>
      </c>
      <c r="E30" s="308"/>
      <c r="F30" s="309"/>
      <c r="G30" s="295">
        <v>0</v>
      </c>
      <c r="H30" s="296"/>
      <c r="I30" s="322">
        <f>'ใบผ่านรายการ  2'!E20</f>
        <v>0</v>
      </c>
      <c r="J30" s="311">
        <v>0</v>
      </c>
      <c r="K30" s="291">
        <f>C30+E30+G30+I30-D30-F30-H30-J30</f>
        <v>0</v>
      </c>
      <c r="L30" s="323">
        <v>0</v>
      </c>
    </row>
    <row r="31" spans="1:12" s="313" customFormat="1" ht="21">
      <c r="A31" s="302" t="s">
        <v>39</v>
      </c>
      <c r="B31" s="264">
        <v>551000</v>
      </c>
      <c r="C31" s="284">
        <v>0</v>
      </c>
      <c r="D31" s="321">
        <v>0</v>
      </c>
      <c r="E31" s="308">
        <v>0</v>
      </c>
      <c r="F31" s="309">
        <v>0</v>
      </c>
      <c r="G31" s="295">
        <v>0</v>
      </c>
      <c r="H31" s="296">
        <v>0</v>
      </c>
      <c r="I31" s="322">
        <f>'ใบผ่านรายการ  2'!E22</f>
        <v>0</v>
      </c>
      <c r="J31" s="311">
        <v>0</v>
      </c>
      <c r="K31" s="291">
        <f t="shared" si="0"/>
        <v>0</v>
      </c>
      <c r="L31" s="323">
        <v>0</v>
      </c>
    </row>
    <row r="32" spans="1:12" s="313" customFormat="1" ht="21">
      <c r="A32" s="302" t="s">
        <v>4</v>
      </c>
      <c r="B32" s="264">
        <v>561000</v>
      </c>
      <c r="C32" s="284">
        <v>886578.93</v>
      </c>
      <c r="D32" s="321">
        <v>0</v>
      </c>
      <c r="E32" s="308">
        <v>0</v>
      </c>
      <c r="F32" s="294">
        <v>0</v>
      </c>
      <c r="G32" s="295">
        <v>0</v>
      </c>
      <c r="H32" s="296">
        <v>0</v>
      </c>
      <c r="I32" s="322">
        <f>'ใบผ่านรายการ  2'!E17</f>
        <v>200000</v>
      </c>
      <c r="J32" s="311">
        <v>0</v>
      </c>
      <c r="K32" s="291">
        <f>C32+E32+G32+I32-D32-F32-H32-J32</f>
        <v>1086578.9300000002</v>
      </c>
      <c r="L32" s="323">
        <v>0</v>
      </c>
    </row>
    <row r="33" spans="1:12" s="313" customFormat="1" ht="21">
      <c r="A33" s="302" t="s">
        <v>94</v>
      </c>
      <c r="B33" s="264">
        <v>121000</v>
      </c>
      <c r="C33" s="284">
        <v>12048610</v>
      </c>
      <c r="D33" s="321">
        <v>0</v>
      </c>
      <c r="E33" s="308">
        <v>0</v>
      </c>
      <c r="F33" s="309">
        <v>0</v>
      </c>
      <c r="G33" s="295">
        <v>0</v>
      </c>
      <c r="H33" s="296">
        <v>0</v>
      </c>
      <c r="I33" s="322">
        <f>'ใบผ่านรายการ  2'!E31</f>
        <v>0</v>
      </c>
      <c r="J33" s="311">
        <v>0</v>
      </c>
      <c r="K33" s="291">
        <f>C33+E33+G33+I33-D33-F33-H33-J33</f>
        <v>12048610</v>
      </c>
      <c r="L33" s="323">
        <v>0</v>
      </c>
    </row>
    <row r="34" spans="1:12" s="313" customFormat="1" ht="21">
      <c r="A34" s="302" t="s">
        <v>96</v>
      </c>
      <c r="B34" s="264">
        <v>221102</v>
      </c>
      <c r="C34" s="284" t="s">
        <v>405</v>
      </c>
      <c r="D34" s="306">
        <v>1851939</v>
      </c>
      <c r="E34" s="308">
        <v>0</v>
      </c>
      <c r="F34" s="309">
        <v>0</v>
      </c>
      <c r="G34" s="295">
        <v>0</v>
      </c>
      <c r="H34" s="296">
        <v>0</v>
      </c>
      <c r="I34" s="322">
        <v>0</v>
      </c>
      <c r="J34" s="311">
        <v>0</v>
      </c>
      <c r="K34" s="291">
        <v>0</v>
      </c>
      <c r="L34" s="298">
        <f>SUM(D34+F34+H34+J34)-(E34+G34+I34-K34)</f>
        <v>1851939</v>
      </c>
    </row>
    <row r="35" spans="1:12" s="313" customFormat="1" ht="21">
      <c r="A35" s="302" t="s">
        <v>115</v>
      </c>
      <c r="B35" s="264">
        <v>221202</v>
      </c>
      <c r="C35" s="284">
        <v>0</v>
      </c>
      <c r="D35" s="306">
        <v>6860945.88</v>
      </c>
      <c r="E35" s="308">
        <v>0</v>
      </c>
      <c r="F35" s="309">
        <v>0</v>
      </c>
      <c r="G35" s="295">
        <v>0</v>
      </c>
      <c r="H35" s="296">
        <f>'ใบผ่านรายการ 1 '!H15</f>
        <v>0</v>
      </c>
      <c r="I35" s="322">
        <v>0</v>
      </c>
      <c r="J35" s="311">
        <v>0</v>
      </c>
      <c r="K35" s="291">
        <v>0</v>
      </c>
      <c r="L35" s="298">
        <f>SUM(D35+F35+H35+J35)-(E35+G35+I35-K35)</f>
        <v>6860945.88</v>
      </c>
    </row>
    <row r="36" spans="1:12" s="313" customFormat="1" ht="21">
      <c r="A36" s="302" t="s">
        <v>146</v>
      </c>
      <c r="B36" s="264">
        <v>123003</v>
      </c>
      <c r="C36" s="284">
        <v>0</v>
      </c>
      <c r="D36" s="306">
        <v>0</v>
      </c>
      <c r="E36" s="308"/>
      <c r="F36" s="309">
        <v>0</v>
      </c>
      <c r="G36" s="295">
        <v>0</v>
      </c>
      <c r="H36" s="296"/>
      <c r="I36" s="322"/>
      <c r="J36" s="311"/>
      <c r="K36" s="291">
        <f>C36+E36+G36+I36-D36-F36-H36-J36</f>
        <v>0</v>
      </c>
      <c r="L36" s="298"/>
    </row>
    <row r="37" spans="1:16" ht="21" hidden="1">
      <c r="A37" s="302" t="s">
        <v>95</v>
      </c>
      <c r="B37" s="264"/>
      <c r="C37" s="284">
        <v>0</v>
      </c>
      <c r="D37" s="306">
        <v>0</v>
      </c>
      <c r="E37" s="305">
        <v>0</v>
      </c>
      <c r="F37" s="294">
        <v>0</v>
      </c>
      <c r="G37" s="295">
        <v>0</v>
      </c>
      <c r="H37" s="296">
        <v>0</v>
      </c>
      <c r="I37" s="322">
        <v>0</v>
      </c>
      <c r="J37" s="297">
        <v>0</v>
      </c>
      <c r="K37" s="291">
        <v>0</v>
      </c>
      <c r="L37" s="298">
        <f>SUM(D37+F37+H37+J37)-(E37+G37+I37-K37)</f>
        <v>0</v>
      </c>
      <c r="M37" s="269" t="s">
        <v>165</v>
      </c>
      <c r="N37" s="299">
        <f>K11+K13+K14+K16+K18+K20+K22+K24+K26+K32+K27+K28+K31</f>
        <v>29698250.339999996</v>
      </c>
      <c r="O37" s="269">
        <v>27141104.54</v>
      </c>
      <c r="P37" s="299">
        <f>O37-N37</f>
        <v>-2557145.799999997</v>
      </c>
    </row>
    <row r="38" spans="1:14" ht="21">
      <c r="A38" s="302" t="s">
        <v>81</v>
      </c>
      <c r="B38" s="264">
        <v>211000</v>
      </c>
      <c r="C38" s="284">
        <v>0</v>
      </c>
      <c r="D38" s="306">
        <v>5461418.85</v>
      </c>
      <c r="E38" s="305">
        <v>0</v>
      </c>
      <c r="F38" s="294">
        <v>0</v>
      </c>
      <c r="G38" s="295">
        <v>0</v>
      </c>
      <c r="H38" s="296">
        <v>0</v>
      </c>
      <c r="I38" s="322">
        <f>'ใบผ่านรายการ  2'!E28</f>
        <v>0</v>
      </c>
      <c r="J38" s="297">
        <v>0</v>
      </c>
      <c r="K38" s="291">
        <v>0</v>
      </c>
      <c r="L38" s="298">
        <f>SUM(D38+F38+H38+J38)-(E38+G38+I38-K38)</f>
        <v>5461418.85</v>
      </c>
      <c r="M38" s="269" t="s">
        <v>166</v>
      </c>
      <c r="N38" s="299" t="e">
        <f>#REF!+K15+K17+K19+K21+K23+K25+K29+K30</f>
        <v>#REF!</v>
      </c>
    </row>
    <row r="39" spans="1:14" ht="21">
      <c r="A39" s="330" t="s">
        <v>314</v>
      </c>
      <c r="B39" s="331">
        <v>211000</v>
      </c>
      <c r="C39" s="284"/>
      <c r="D39" s="306">
        <v>0</v>
      </c>
      <c r="E39" s="332"/>
      <c r="F39" s="333"/>
      <c r="G39" s="295">
        <v>0</v>
      </c>
      <c r="H39" s="334"/>
      <c r="I39" s="335">
        <f>'ใบผ่านรายการ  2'!E27</f>
        <v>0</v>
      </c>
      <c r="J39" s="336"/>
      <c r="K39" s="337"/>
      <c r="L39" s="298">
        <f>SUM(D39+F39+H39+J39)-(E39+G39+I39-K39)</f>
        <v>0</v>
      </c>
      <c r="M39" s="269"/>
      <c r="N39" s="299"/>
    </row>
    <row r="40" spans="1:14" ht="21">
      <c r="A40" s="330" t="s">
        <v>315</v>
      </c>
      <c r="B40" s="338">
        <v>211000</v>
      </c>
      <c r="C40" s="284">
        <v>0</v>
      </c>
      <c r="D40" s="339">
        <v>0</v>
      </c>
      <c r="E40" s="332">
        <v>0</v>
      </c>
      <c r="F40" s="333">
        <v>0</v>
      </c>
      <c r="G40" s="295">
        <v>0</v>
      </c>
      <c r="H40" s="334">
        <v>0</v>
      </c>
      <c r="I40" s="340">
        <f>'ใบผ่านรายการ  2'!E29</f>
        <v>0</v>
      </c>
      <c r="J40" s="336">
        <v>0</v>
      </c>
      <c r="K40" s="341"/>
      <c r="L40" s="342">
        <f>D40+F40+H40+J40-C40-E40-G40-I40</f>
        <v>0</v>
      </c>
      <c r="M40" s="343">
        <f>SUM(L38:L40)</f>
        <v>5461418.85</v>
      </c>
      <c r="N40" s="269"/>
    </row>
    <row r="41" spans="1:14" ht="21">
      <c r="A41" s="302" t="s">
        <v>7</v>
      </c>
      <c r="B41" s="344">
        <v>310000</v>
      </c>
      <c r="C41" s="284">
        <v>0</v>
      </c>
      <c r="D41" s="284">
        <v>21924057.76</v>
      </c>
      <c r="E41" s="305">
        <v>0</v>
      </c>
      <c r="F41" s="294">
        <v>0</v>
      </c>
      <c r="G41" s="295">
        <v>0</v>
      </c>
      <c r="H41" s="296">
        <f>'ใบผ่านรายการ 1 '!H33</f>
        <v>0</v>
      </c>
      <c r="I41" s="322">
        <f>'ใบผ่านรายการ  2'!E30</f>
        <v>0</v>
      </c>
      <c r="J41" s="297">
        <v>0</v>
      </c>
      <c r="K41" s="345">
        <v>0</v>
      </c>
      <c r="L41" s="298">
        <f>D41+F41+H41+J41-C41-E41-G41-I41-K41</f>
        <v>21924057.76</v>
      </c>
      <c r="M41" s="269"/>
      <c r="N41" s="299" t="e">
        <f>SUM(N37:N38)</f>
        <v>#REF!</v>
      </c>
    </row>
    <row r="42" spans="1:14" ht="21">
      <c r="A42" s="302" t="s">
        <v>40</v>
      </c>
      <c r="B42" s="264">
        <v>320000</v>
      </c>
      <c r="C42" s="284">
        <v>0</v>
      </c>
      <c r="D42" s="306">
        <v>10125619.53</v>
      </c>
      <c r="E42" s="305">
        <v>0</v>
      </c>
      <c r="F42" s="294">
        <v>0</v>
      </c>
      <c r="G42" s="295">
        <v>0</v>
      </c>
      <c r="H42" s="296">
        <v>0</v>
      </c>
      <c r="I42" s="322">
        <v>0</v>
      </c>
      <c r="J42" s="297">
        <v>0</v>
      </c>
      <c r="K42" s="291">
        <v>0</v>
      </c>
      <c r="L42" s="298">
        <f>SUM(D42+F42+H42+K42)-(E42+G42+I42)</f>
        <v>10125619.53</v>
      </c>
      <c r="M42" s="269"/>
      <c r="N42" s="269"/>
    </row>
    <row r="43" spans="1:14" ht="21">
      <c r="A43" s="330" t="s">
        <v>360</v>
      </c>
      <c r="B43" s="346">
        <v>113100</v>
      </c>
      <c r="C43" s="347">
        <v>27000</v>
      </c>
      <c r="D43" s="348">
        <v>0</v>
      </c>
      <c r="E43" s="332">
        <v>0</v>
      </c>
      <c r="F43" s="333">
        <f>ใบผ่านทั่วไป!G8+ใบผ่านทั่วไป!G92</f>
        <v>500300</v>
      </c>
      <c r="G43" s="295">
        <v>0</v>
      </c>
      <c r="H43" s="334">
        <f>'ใบผ่านรายการ 1 '!H31+'ใบผ่านรายการ 1 '!H34</f>
        <v>0</v>
      </c>
      <c r="I43" s="340">
        <f>'ใบผ่านรายการ  2'!E24</f>
        <v>617900</v>
      </c>
      <c r="J43" s="336">
        <v>0</v>
      </c>
      <c r="K43" s="349">
        <f>C43+E43+G43+I43-D43-F43-H43-J43</f>
        <v>144600</v>
      </c>
      <c r="L43" s="342">
        <v>0</v>
      </c>
      <c r="M43" s="269"/>
      <c r="N43" s="269"/>
    </row>
    <row r="44" spans="1:14" ht="21">
      <c r="A44" s="302" t="s">
        <v>36</v>
      </c>
      <c r="B44" s="264">
        <v>113700</v>
      </c>
      <c r="C44" s="306">
        <v>0</v>
      </c>
      <c r="D44" s="306">
        <v>0</v>
      </c>
      <c r="E44" s="305">
        <v>0</v>
      </c>
      <c r="F44" s="294">
        <v>0</v>
      </c>
      <c r="G44" s="295">
        <v>0</v>
      </c>
      <c r="H44" s="296">
        <v>0</v>
      </c>
      <c r="I44" s="307">
        <f>'ใบผ่านรายการ  2'!E25</f>
        <v>0</v>
      </c>
      <c r="J44" s="297">
        <v>0</v>
      </c>
      <c r="K44" s="291">
        <f>C44-D44+E44-F44+G44-H44+I44-J44</f>
        <v>0</v>
      </c>
      <c r="L44" s="298">
        <v>0</v>
      </c>
      <c r="M44" s="269"/>
      <c r="N44" s="269"/>
    </row>
    <row r="45" spans="1:14" ht="21">
      <c r="A45" s="302" t="s">
        <v>330</v>
      </c>
      <c r="B45" s="264">
        <v>113800</v>
      </c>
      <c r="C45" s="284">
        <v>0</v>
      </c>
      <c r="D45" s="306">
        <v>0</v>
      </c>
      <c r="E45" s="305">
        <v>0</v>
      </c>
      <c r="F45" s="294">
        <v>0</v>
      </c>
      <c r="G45" s="295">
        <v>0</v>
      </c>
      <c r="H45" s="296">
        <v>0</v>
      </c>
      <c r="I45" s="307">
        <f>'ใบผ่านรายการ  2'!E26</f>
        <v>0</v>
      </c>
      <c r="J45" s="297">
        <v>0</v>
      </c>
      <c r="K45" s="291">
        <f>C45-D45+E45-F45+G45-H45+I45-J45</f>
        <v>0</v>
      </c>
      <c r="L45" s="298">
        <v>0</v>
      </c>
      <c r="M45" s="269"/>
      <c r="N45" s="269"/>
    </row>
    <row r="46" spans="1:14" ht="21">
      <c r="A46" s="302" t="s">
        <v>233</v>
      </c>
      <c r="B46" s="264">
        <v>113600</v>
      </c>
      <c r="C46" s="284">
        <v>0</v>
      </c>
      <c r="D46" s="306"/>
      <c r="E46" s="305">
        <v>0</v>
      </c>
      <c r="F46" s="294">
        <v>0</v>
      </c>
      <c r="G46" s="295">
        <v>0</v>
      </c>
      <c r="H46" s="296"/>
      <c r="I46" s="307"/>
      <c r="J46" s="297"/>
      <c r="K46" s="291">
        <v>0</v>
      </c>
      <c r="L46" s="298"/>
      <c r="M46" s="269"/>
      <c r="N46" s="269"/>
    </row>
    <row r="47" spans="1:14" ht="21">
      <c r="A47" s="302" t="s">
        <v>309</v>
      </c>
      <c r="B47" s="264">
        <v>113600</v>
      </c>
      <c r="C47" s="284">
        <v>0</v>
      </c>
      <c r="D47" s="306"/>
      <c r="E47" s="305">
        <v>0</v>
      </c>
      <c r="F47" s="294"/>
      <c r="G47" s="295">
        <v>0</v>
      </c>
      <c r="H47" s="296">
        <v>0</v>
      </c>
      <c r="I47" s="307"/>
      <c r="J47" s="297"/>
      <c r="K47" s="291">
        <f>C47+E47+G47+I47-D47-F47-H47-J47</f>
        <v>0</v>
      </c>
      <c r="L47" s="298"/>
      <c r="M47" s="269"/>
      <c r="N47" s="269"/>
    </row>
    <row r="48" spans="1:14" ht="21">
      <c r="A48" s="302" t="s">
        <v>146</v>
      </c>
      <c r="B48" s="264">
        <v>112300</v>
      </c>
      <c r="C48" s="284">
        <v>0</v>
      </c>
      <c r="D48" s="306"/>
      <c r="E48" s="305">
        <v>0</v>
      </c>
      <c r="F48" s="294"/>
      <c r="G48" s="295">
        <v>0</v>
      </c>
      <c r="H48" s="296">
        <v>0</v>
      </c>
      <c r="I48" s="307"/>
      <c r="J48" s="297"/>
      <c r="K48" s="291">
        <f>C48+E48+G48+I48-D48-F48-H48-J48</f>
        <v>0</v>
      </c>
      <c r="L48" s="298"/>
      <c r="M48" s="269"/>
      <c r="N48" s="269"/>
    </row>
    <row r="49" spans="1:14" ht="21">
      <c r="A49" s="302" t="s">
        <v>41</v>
      </c>
      <c r="B49" s="264">
        <v>400000</v>
      </c>
      <c r="C49" s="284">
        <v>0</v>
      </c>
      <c r="D49" s="306">
        <v>34068705.12</v>
      </c>
      <c r="E49" s="305">
        <v>0</v>
      </c>
      <c r="F49" s="294">
        <v>0</v>
      </c>
      <c r="G49" s="295">
        <v>0</v>
      </c>
      <c r="H49" s="296">
        <f>'ใบผ่านรายการ 1 '!H13</f>
        <v>3463171.18</v>
      </c>
      <c r="I49" s="307">
        <f>'ใบผ่านรายการ  2'!E48</f>
        <v>0</v>
      </c>
      <c r="J49" s="297">
        <f>'ใบผ่านรายการ  2'!F48</f>
        <v>0</v>
      </c>
      <c r="K49" s="291">
        <v>0</v>
      </c>
      <c r="L49" s="298">
        <f>D49+F49+H49+J49-C49-E49-G49-I49</f>
        <v>37531876.3</v>
      </c>
      <c r="M49" s="269"/>
      <c r="N49" s="269"/>
    </row>
    <row r="50" spans="1:12" s="354" customFormat="1" ht="21">
      <c r="A50" s="302" t="s">
        <v>42</v>
      </c>
      <c r="B50" s="264">
        <v>215000</v>
      </c>
      <c r="C50" s="350">
        <v>0</v>
      </c>
      <c r="D50" s="351">
        <v>280648.98</v>
      </c>
      <c r="E50" s="305">
        <f>ใบผ่านทั่วไป!F135</f>
        <v>0</v>
      </c>
      <c r="F50" s="294">
        <v>0</v>
      </c>
      <c r="G50" s="295">
        <v>0</v>
      </c>
      <c r="H50" s="296">
        <f>'ใบผ่านรายการ 1 '!I20</f>
        <v>43782.17</v>
      </c>
      <c r="I50" s="352">
        <f>'ใบผ่านรายการ  2'!G46</f>
        <v>64164.64</v>
      </c>
      <c r="J50" s="353">
        <f>'ใบผ่านรายการ  2'!H46</f>
        <v>18888.989999999998</v>
      </c>
      <c r="K50" s="291">
        <v>0</v>
      </c>
      <c r="L50" s="298">
        <f>D50+F50+H50+J50-C50-E50-G50-I50</f>
        <v>279155.49999999994</v>
      </c>
    </row>
    <row r="51" spans="1:12" s="354" customFormat="1" ht="21">
      <c r="A51" s="330" t="s">
        <v>312</v>
      </c>
      <c r="B51" s="355">
        <v>140300</v>
      </c>
      <c r="C51" s="356">
        <v>10500</v>
      </c>
      <c r="D51" s="351">
        <v>0</v>
      </c>
      <c r="E51" s="305">
        <v>0</v>
      </c>
      <c r="F51" s="294">
        <v>0</v>
      </c>
      <c r="G51" s="295">
        <v>0</v>
      </c>
      <c r="H51" s="296">
        <v>0</v>
      </c>
      <c r="I51" s="352">
        <v>0</v>
      </c>
      <c r="J51" s="353">
        <v>0</v>
      </c>
      <c r="K51" s="357">
        <f>C51+E51+G51+I51-D51-F51-H51-J51</f>
        <v>10500</v>
      </c>
      <c r="L51" s="298">
        <v>0</v>
      </c>
    </row>
    <row r="52" spans="1:12" s="354" customFormat="1" ht="21">
      <c r="A52" s="358" t="s">
        <v>313</v>
      </c>
      <c r="B52" s="359">
        <v>240100</v>
      </c>
      <c r="C52" s="360"/>
      <c r="D52" s="361">
        <v>10500</v>
      </c>
      <c r="E52" s="362">
        <v>0</v>
      </c>
      <c r="F52" s="294">
        <v>0</v>
      </c>
      <c r="G52" s="295">
        <v>0</v>
      </c>
      <c r="H52" s="363"/>
      <c r="I52" s="364"/>
      <c r="J52" s="365"/>
      <c r="K52" s="366"/>
      <c r="L52" s="367">
        <f>D52+F52+H52+J52-C52-E52-G52-I52</f>
        <v>10500</v>
      </c>
    </row>
    <row r="53" spans="1:14" ht="21.75" thickBot="1">
      <c r="A53" s="368"/>
      <c r="B53" s="91"/>
      <c r="C53" s="369">
        <f>SUM(C3:C52)</f>
        <v>80583835.12</v>
      </c>
      <c r="D53" s="369">
        <f>SUM(D34:D52)</f>
        <v>80583835.12</v>
      </c>
      <c r="E53" s="369">
        <f aca="true" t="shared" si="1" ref="E53:L53">SUM(E3:E52)</f>
        <v>2758406.4199999995</v>
      </c>
      <c r="F53" s="369">
        <f t="shared" si="1"/>
        <v>2758406.4199999995</v>
      </c>
      <c r="G53" s="369">
        <f t="shared" si="1"/>
        <v>3515807.9499999997</v>
      </c>
      <c r="H53" s="369">
        <f t="shared" si="1"/>
        <v>3515807.95</v>
      </c>
      <c r="I53" s="369">
        <f t="shared" si="1"/>
        <v>3146323.2700000005</v>
      </c>
      <c r="J53" s="369">
        <f t="shared" si="1"/>
        <v>3146323.27</v>
      </c>
      <c r="K53" s="369">
        <f t="shared" si="1"/>
        <v>84045512.82000001</v>
      </c>
      <c r="L53" s="369">
        <f t="shared" si="1"/>
        <v>84045512.82</v>
      </c>
      <c r="M53" s="269"/>
      <c r="N53" s="269"/>
    </row>
    <row r="54" spans="1:11" ht="21.75" thickTop="1">
      <c r="A54" s="370"/>
      <c r="B54" s="371"/>
      <c r="C54" s="372">
        <f>C53-D53</f>
        <v>0</v>
      </c>
      <c r="D54" s="373"/>
      <c r="E54" s="374">
        <f>E53-F53</f>
        <v>0</v>
      </c>
      <c r="G54" s="376">
        <f>G53-H53</f>
        <v>0</v>
      </c>
      <c r="I54" s="378">
        <f>I53-J53</f>
        <v>0</v>
      </c>
      <c r="K54" s="380">
        <f>K53-L53</f>
        <v>0</v>
      </c>
    </row>
    <row r="55" spans="1:5" ht="21">
      <c r="A55" s="382"/>
      <c r="B55" s="382"/>
      <c r="C55" s="383"/>
      <c r="D55" s="384"/>
      <c r="E55" s="385"/>
    </row>
    <row r="56" spans="2:3" ht="21">
      <c r="B56" s="809"/>
      <c r="C56" s="809"/>
    </row>
    <row r="57" ht="21">
      <c r="B57" s="388"/>
    </row>
    <row r="58" spans="1:5" ht="21">
      <c r="A58" s="355"/>
      <c r="B58" s="808"/>
      <c r="C58" s="808"/>
      <c r="D58" s="390"/>
      <c r="E58" s="391"/>
    </row>
    <row r="59" spans="2:3" ht="21">
      <c r="B59" s="808"/>
      <c r="C59" s="808"/>
    </row>
  </sheetData>
  <sheetProtection/>
  <mergeCells count="4">
    <mergeCell ref="B58:C58"/>
    <mergeCell ref="B59:C59"/>
    <mergeCell ref="B56:C56"/>
    <mergeCell ref="A1:L1"/>
  </mergeCells>
  <printOptions horizontalCentered="1"/>
  <pageMargins left="0.14" right="0" top="0.3937007874015748" bottom="0.3937007874015748" header="0.2362204724409449" footer="0.1574803149606299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5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140625" defaultRowHeight="21.75"/>
  <cols>
    <col min="1" max="1" width="44.00390625" style="1" customWidth="1"/>
    <col min="2" max="2" width="15.421875" style="1" customWidth="1"/>
    <col min="3" max="4" width="27.8515625" style="1" customWidth="1"/>
    <col min="5" max="5" width="20.28125" style="1" customWidth="1"/>
    <col min="6" max="6" width="25.28125" style="1" customWidth="1"/>
    <col min="7" max="7" width="20.28125" style="1" customWidth="1"/>
    <col min="8" max="16384" width="9.140625" style="1" customWidth="1"/>
  </cols>
  <sheetData>
    <row r="1" spans="1:4" ht="19.5" customHeight="1">
      <c r="A1" s="754" t="s">
        <v>37</v>
      </c>
      <c r="B1" s="754"/>
      <c r="C1" s="754"/>
      <c r="D1" s="754"/>
    </row>
    <row r="2" spans="1:4" ht="19.5" customHeight="1">
      <c r="A2" s="754" t="s">
        <v>77</v>
      </c>
      <c r="B2" s="754"/>
      <c r="C2" s="754"/>
      <c r="D2" s="754"/>
    </row>
    <row r="3" spans="1:4" ht="19.5" customHeight="1">
      <c r="A3" s="813" t="s">
        <v>773</v>
      </c>
      <c r="B3" s="813"/>
      <c r="C3" s="813"/>
      <c r="D3" s="813"/>
    </row>
    <row r="4" spans="1:4" ht="18" customHeight="1">
      <c r="A4" s="392" t="s">
        <v>8</v>
      </c>
      <c r="B4" s="392" t="s">
        <v>47</v>
      </c>
      <c r="C4" s="392" t="s">
        <v>9</v>
      </c>
      <c r="D4" s="392" t="s">
        <v>10</v>
      </c>
    </row>
    <row r="5" spans="1:4" ht="18" customHeight="1">
      <c r="A5" s="393" t="s">
        <v>78</v>
      </c>
      <c r="B5" s="394">
        <v>110100</v>
      </c>
      <c r="C5" s="234">
        <f>กระดาษทำการ!K3</f>
        <v>0</v>
      </c>
      <c r="D5" s="395"/>
    </row>
    <row r="6" spans="1:7" ht="18" customHeight="1">
      <c r="A6" s="393" t="s">
        <v>25</v>
      </c>
      <c r="B6" s="394">
        <f>กระดาษทำการ!B4</f>
        <v>111203</v>
      </c>
      <c r="C6" s="396">
        <f>กระดาษทำการ!K4</f>
        <v>3349522.6600000006</v>
      </c>
      <c r="D6" s="234"/>
      <c r="E6" s="184"/>
      <c r="F6" s="397" t="s">
        <v>7</v>
      </c>
      <c r="G6" s="184">
        <f>D28-C11</f>
        <v>16677736.530000001</v>
      </c>
    </row>
    <row r="7" spans="1:7" ht="18" customHeight="1">
      <c r="A7" s="393" t="s">
        <v>102</v>
      </c>
      <c r="B7" s="398" t="str">
        <f>กระดาษทำการ!B5</f>
        <v>111201</v>
      </c>
      <c r="C7" s="399">
        <f>กระดาษทำการ!K5</f>
        <v>32013959.509999998</v>
      </c>
      <c r="D7" s="234"/>
      <c r="E7" s="184"/>
      <c r="F7" s="397" t="s">
        <v>40</v>
      </c>
      <c r="G7" s="184">
        <f>D29</f>
        <v>10125619.53</v>
      </c>
    </row>
    <row r="8" spans="1:7" ht="18" customHeight="1">
      <c r="A8" s="397" t="s">
        <v>131</v>
      </c>
      <c r="B8" s="400">
        <f>กระดาษทำการ!B6</f>
        <v>111202</v>
      </c>
      <c r="C8" s="399">
        <f>กระดาษทำการ!K6</f>
        <v>957762.87</v>
      </c>
      <c r="D8" s="234"/>
      <c r="E8" s="184">
        <f>SUM(C6:C10)</f>
        <v>36654492</v>
      </c>
      <c r="F8" s="397" t="s">
        <v>142</v>
      </c>
      <c r="G8" s="184">
        <f>D26</f>
        <v>5461418.85</v>
      </c>
    </row>
    <row r="9" spans="1:7" ht="18" customHeight="1">
      <c r="A9" s="397" t="s">
        <v>134</v>
      </c>
      <c r="B9" s="400" t="str">
        <f>กระดาษทำการ!B7</f>
        <v>111201-1</v>
      </c>
      <c r="C9" s="399">
        <f>กระดาษทำการ!K7</f>
        <v>76.99</v>
      </c>
      <c r="D9" s="234"/>
      <c r="F9" s="302" t="s">
        <v>95</v>
      </c>
      <c r="G9" s="184">
        <f>D27</f>
        <v>0</v>
      </c>
    </row>
    <row r="10" spans="1:7" ht="18" customHeight="1">
      <c r="A10" s="397" t="s">
        <v>122</v>
      </c>
      <c r="B10" s="400" t="str">
        <f>กระดาษทำการ!B8</f>
        <v>111201-2</v>
      </c>
      <c r="C10" s="399">
        <f>กระดาษทำการ!K8</f>
        <v>333169.97</v>
      </c>
      <c r="D10" s="234"/>
      <c r="F10" s="397" t="s">
        <v>42</v>
      </c>
      <c r="G10" s="184">
        <f>D39</f>
        <v>279155.49999999994</v>
      </c>
    </row>
    <row r="11" spans="1:7" ht="18" customHeight="1">
      <c r="A11" s="397" t="s">
        <v>43</v>
      </c>
      <c r="B11" s="400">
        <v>112002</v>
      </c>
      <c r="C11" s="399">
        <f>กระดาษทำการ!K9</f>
        <v>5246321.23</v>
      </c>
      <c r="D11" s="234"/>
      <c r="F11" s="1" t="s">
        <v>164</v>
      </c>
      <c r="G11" s="184">
        <f>D38-E18</f>
        <v>7601386.710000001</v>
      </c>
    </row>
    <row r="12" spans="1:7" ht="18" customHeight="1">
      <c r="A12" s="397" t="s">
        <v>249</v>
      </c>
      <c r="B12" s="400">
        <v>113200</v>
      </c>
      <c r="C12" s="399">
        <f>กระดาษทำการ!K10</f>
        <v>10500</v>
      </c>
      <c r="D12" s="234"/>
      <c r="E12" s="184"/>
      <c r="G12" s="184"/>
    </row>
    <row r="13" spans="1:7" ht="18" customHeight="1">
      <c r="A13" s="393" t="s">
        <v>45</v>
      </c>
      <c r="B13" s="394">
        <v>511000</v>
      </c>
      <c r="C13" s="401">
        <f>กระดาษทำการ!K11</f>
        <v>6341186.64</v>
      </c>
      <c r="D13" s="234"/>
      <c r="F13" s="1" t="s">
        <v>70</v>
      </c>
      <c r="G13" s="184">
        <f>SUM(G6:G11)</f>
        <v>40145317.120000005</v>
      </c>
    </row>
    <row r="14" spans="1:7" ht="18" customHeight="1">
      <c r="A14" s="393" t="s">
        <v>629</v>
      </c>
      <c r="B14" s="394">
        <v>511000</v>
      </c>
      <c r="C14" s="401">
        <f>กระดาษทำการ!K12</f>
        <v>71669.25</v>
      </c>
      <c r="D14" s="234"/>
      <c r="E14" s="184">
        <f>C13+C14</f>
        <v>6412855.89</v>
      </c>
      <c r="G14" s="184"/>
    </row>
    <row r="15" spans="1:7" ht="18" customHeight="1">
      <c r="A15" s="397" t="s">
        <v>186</v>
      </c>
      <c r="B15" s="400">
        <v>521000</v>
      </c>
      <c r="C15" s="401">
        <f>กระดาษทำการ!K13</f>
        <v>1968480</v>
      </c>
      <c r="D15" s="234"/>
      <c r="E15" s="184">
        <f>SUM(C15:C16)</f>
        <v>14545309.35</v>
      </c>
      <c r="G15" s="184"/>
    </row>
    <row r="16" spans="1:5" ht="18" customHeight="1">
      <c r="A16" s="402" t="s">
        <v>187</v>
      </c>
      <c r="B16" s="403">
        <v>522000</v>
      </c>
      <c r="C16" s="404">
        <f>กระดาษทำการ!K14+กระดาษทำการ!K15+กระดาษทำการ!K16+กระดาษทำการ!K17+กระดาษทำการ!K18+กระดาษทำการ!K19</f>
        <v>12576829.35</v>
      </c>
      <c r="D16" s="405"/>
      <c r="E16" s="184"/>
    </row>
    <row r="17" spans="1:4" ht="18" customHeight="1">
      <c r="A17" s="397" t="s">
        <v>0</v>
      </c>
      <c r="B17" s="400">
        <v>531000</v>
      </c>
      <c r="C17" s="401">
        <f>กระดาษทำการ!K20+กระดาษทำการ!K21</f>
        <v>502570</v>
      </c>
      <c r="D17" s="234"/>
    </row>
    <row r="18" spans="1:5" ht="18" customHeight="1">
      <c r="A18" s="397" t="s">
        <v>1</v>
      </c>
      <c r="B18" s="400">
        <v>532000</v>
      </c>
      <c r="C18" s="401">
        <f>กระดาษทำการ!K22+กระดาษทำการ!K23</f>
        <v>4807352.25</v>
      </c>
      <c r="D18" s="234"/>
      <c r="E18" s="184">
        <f>SUM(C13:C24)</f>
        <v>29930489.589999996</v>
      </c>
    </row>
    <row r="19" spans="1:4" ht="18" customHeight="1">
      <c r="A19" s="397" t="s">
        <v>2</v>
      </c>
      <c r="B19" s="400">
        <v>533000</v>
      </c>
      <c r="C19" s="401">
        <f>กระดาษทำการ!K24+กระดาษทำการ!K25</f>
        <v>1420479.2200000002</v>
      </c>
      <c r="D19" s="234"/>
    </row>
    <row r="20" spans="1:4" ht="18" customHeight="1">
      <c r="A20" s="397" t="s">
        <v>3</v>
      </c>
      <c r="B20" s="400">
        <v>534000</v>
      </c>
      <c r="C20" s="401">
        <f>กระดาษทำการ!K26</f>
        <v>279284.95</v>
      </c>
      <c r="D20" s="234"/>
    </row>
    <row r="21" spans="1:4" ht="18" customHeight="1">
      <c r="A21" s="397" t="s">
        <v>4</v>
      </c>
      <c r="B21" s="400">
        <v>561000</v>
      </c>
      <c r="C21" s="401">
        <f>กระดาษทำการ!K32</f>
        <v>1086578.9300000002</v>
      </c>
      <c r="D21" s="234"/>
    </row>
    <row r="22" spans="1:4" ht="18" customHeight="1">
      <c r="A22" s="397" t="s">
        <v>80</v>
      </c>
      <c r="B22" s="400">
        <v>541000</v>
      </c>
      <c r="C22" s="401">
        <f>กระดาษทำการ!K27</f>
        <v>385059</v>
      </c>
      <c r="D22" s="234"/>
    </row>
    <row r="23" spans="1:4" ht="18" customHeight="1">
      <c r="A23" s="397" t="s">
        <v>163</v>
      </c>
      <c r="B23" s="400">
        <v>542000</v>
      </c>
      <c r="C23" s="401">
        <f>กระดาษทำการ!K29+กระดาษทำการ!K28+กระดาษทำการ!K30</f>
        <v>491000</v>
      </c>
      <c r="D23" s="234"/>
    </row>
    <row r="24" spans="1:4" ht="18" customHeight="1">
      <c r="A24" s="397" t="s">
        <v>39</v>
      </c>
      <c r="B24" s="400">
        <v>551000</v>
      </c>
      <c r="C24" s="401">
        <f>กระดาษทำการ!K31</f>
        <v>0</v>
      </c>
      <c r="D24" s="234"/>
    </row>
    <row r="25" spans="1:5" ht="18" customHeight="1">
      <c r="A25" s="397" t="s">
        <v>98</v>
      </c>
      <c r="B25" s="400">
        <v>121000</v>
      </c>
      <c r="C25" s="399">
        <f>กระดาษทำการ!K33</f>
        <v>12048610</v>
      </c>
      <c r="D25" s="234"/>
      <c r="E25" s="184"/>
    </row>
    <row r="26" spans="1:4" ht="18" customHeight="1">
      <c r="A26" s="397" t="s">
        <v>142</v>
      </c>
      <c r="B26" s="400">
        <v>211000</v>
      </c>
      <c r="C26" s="399">
        <v>0</v>
      </c>
      <c r="D26" s="234">
        <f>กระดาษทำการ!M40</f>
        <v>5461418.85</v>
      </c>
    </row>
    <row r="27" spans="1:4" ht="18" customHeight="1">
      <c r="A27" s="302" t="s">
        <v>95</v>
      </c>
      <c r="B27" s="264">
        <v>604</v>
      </c>
      <c r="C27" s="399"/>
      <c r="D27" s="399">
        <f>กระดาษทำการ!L37</f>
        <v>0</v>
      </c>
    </row>
    <row r="28" spans="1:4" ht="18" customHeight="1">
      <c r="A28" s="397" t="s">
        <v>7</v>
      </c>
      <c r="B28" s="400">
        <v>310000</v>
      </c>
      <c r="C28" s="399"/>
      <c r="D28" s="399">
        <f>กระดาษทำการ!L41</f>
        <v>21924057.76</v>
      </c>
    </row>
    <row r="29" spans="1:4" ht="18" customHeight="1">
      <c r="A29" s="397" t="s">
        <v>40</v>
      </c>
      <c r="B29" s="400">
        <v>320000</v>
      </c>
      <c r="C29" s="399"/>
      <c r="D29" s="234">
        <f>กระดาษทำการ!L42</f>
        <v>10125619.53</v>
      </c>
    </row>
    <row r="30" spans="1:4" ht="18" customHeight="1">
      <c r="A30" s="397" t="s">
        <v>55</v>
      </c>
      <c r="B30" s="406">
        <v>113100</v>
      </c>
      <c r="C30" s="234">
        <v>0</v>
      </c>
      <c r="D30" s="258"/>
    </row>
    <row r="31" spans="1:5" ht="18" customHeight="1">
      <c r="A31" s="397" t="s">
        <v>36</v>
      </c>
      <c r="B31" s="400">
        <v>113700</v>
      </c>
      <c r="C31" s="234">
        <v>0</v>
      </c>
      <c r="D31" s="234"/>
      <c r="E31" s="184">
        <v>0</v>
      </c>
    </row>
    <row r="32" spans="1:4" ht="18" customHeight="1">
      <c r="A32" s="302" t="s">
        <v>359</v>
      </c>
      <c r="B32" s="400">
        <v>113800</v>
      </c>
      <c r="C32" s="399">
        <f>กระดาษทำการ!K43</f>
        <v>144600</v>
      </c>
      <c r="D32" s="399"/>
    </row>
    <row r="33" spans="1:4" ht="18" customHeight="1">
      <c r="A33" s="302" t="s">
        <v>312</v>
      </c>
      <c r="B33" s="400">
        <v>140300</v>
      </c>
      <c r="C33" s="399">
        <f>กระดาษทำการ!K51</f>
        <v>10500</v>
      </c>
      <c r="D33" s="399"/>
    </row>
    <row r="34" spans="1:4" ht="18" customHeight="1">
      <c r="A34" s="302" t="s">
        <v>313</v>
      </c>
      <c r="B34" s="400">
        <v>240100</v>
      </c>
      <c r="C34" s="399"/>
      <c r="D34" s="399">
        <f>กระดาษทำการ!L52</f>
        <v>10500</v>
      </c>
    </row>
    <row r="35" spans="1:5" ht="18" customHeight="1">
      <c r="A35" s="397" t="s">
        <v>97</v>
      </c>
      <c r="B35" s="400">
        <v>220102</v>
      </c>
      <c r="C35" s="399"/>
      <c r="D35" s="399">
        <f>กระดาษทำการ!L34</f>
        <v>1851939</v>
      </c>
      <c r="E35" s="184"/>
    </row>
    <row r="36" spans="1:7" ht="18" customHeight="1">
      <c r="A36" s="397" t="s">
        <v>116</v>
      </c>
      <c r="B36" s="400">
        <v>220103</v>
      </c>
      <c r="C36" s="399"/>
      <c r="D36" s="399">
        <f>กระดาษทำการ!L35</f>
        <v>6860945.88</v>
      </c>
      <c r="E36" s="184"/>
      <c r="G36" s="248"/>
    </row>
    <row r="37" spans="1:7" ht="18" customHeight="1">
      <c r="A37" s="397" t="s">
        <v>146</v>
      </c>
      <c r="B37" s="400">
        <v>123000</v>
      </c>
      <c r="C37" s="399">
        <f>กระดาษทำการ!K48</f>
        <v>0</v>
      </c>
      <c r="D37" s="399"/>
      <c r="G37" s="248"/>
    </row>
    <row r="38" spans="1:7" ht="18" customHeight="1">
      <c r="A38" s="397" t="s">
        <v>41</v>
      </c>
      <c r="B38" s="400">
        <v>400000</v>
      </c>
      <c r="C38" s="399"/>
      <c r="D38" s="234">
        <f>กระดาษทำการ!L49</f>
        <v>37531876.3</v>
      </c>
      <c r="E38" s="184"/>
      <c r="G38" s="184"/>
    </row>
    <row r="39" spans="1:5" ht="18" customHeight="1">
      <c r="A39" s="397" t="s">
        <v>42</v>
      </c>
      <c r="B39" s="400">
        <v>215000</v>
      </c>
      <c r="C39" s="399"/>
      <c r="D39" s="234">
        <f>กระดาษทำการ!L50</f>
        <v>279155.49999999994</v>
      </c>
      <c r="E39" s="184"/>
    </row>
    <row r="40" spans="1:5" ht="18" customHeight="1">
      <c r="A40" s="407"/>
      <c r="B40" s="408"/>
      <c r="C40" s="409">
        <f>SUM(C5:C39)</f>
        <v>84045512.82000001</v>
      </c>
      <c r="D40" s="409">
        <f>SUM(D26:D39)</f>
        <v>84045512.82</v>
      </c>
      <c r="E40" s="184">
        <f>C40-D40</f>
        <v>0</v>
      </c>
    </row>
    <row r="41" spans="1:5" ht="18" customHeight="1">
      <c r="A41" s="11" t="s">
        <v>604</v>
      </c>
      <c r="B41" s="12"/>
      <c r="C41" s="38"/>
      <c r="D41" s="256"/>
      <c r="E41" s="184"/>
    </row>
    <row r="42" spans="1:5" ht="18" customHeight="1">
      <c r="A42" s="11" t="s">
        <v>605</v>
      </c>
      <c r="B42" s="12"/>
      <c r="C42" s="12"/>
      <c r="D42" s="256"/>
      <c r="E42" s="184"/>
    </row>
    <row r="43" spans="1:5" ht="18" customHeight="1">
      <c r="A43" s="11" t="s">
        <v>606</v>
      </c>
      <c r="B43" s="12"/>
      <c r="C43" s="12"/>
      <c r="D43" s="256"/>
      <c r="E43" s="184"/>
    </row>
    <row r="44" spans="1:5" ht="9.75" customHeight="1">
      <c r="A44" s="250"/>
      <c r="B44" s="410"/>
      <c r="C44" s="256"/>
      <c r="D44" s="256"/>
      <c r="E44" s="184"/>
    </row>
    <row r="45" spans="1:4" ht="28.5" customHeight="1">
      <c r="A45" s="812" t="s">
        <v>752</v>
      </c>
      <c r="B45" s="812"/>
      <c r="C45" s="812"/>
      <c r="D45" s="812"/>
    </row>
    <row r="46" spans="1:7" ht="20.25" customHeight="1">
      <c r="A46" s="812" t="s">
        <v>751</v>
      </c>
      <c r="B46" s="812"/>
      <c r="C46" s="812"/>
      <c r="D46" s="812"/>
      <c r="E46" s="527"/>
      <c r="F46" s="527"/>
      <c r="G46" s="527"/>
    </row>
    <row r="47" spans="1:4" ht="20.25" customHeight="1">
      <c r="A47" s="812" t="s">
        <v>753</v>
      </c>
      <c r="B47" s="812"/>
      <c r="C47" s="812"/>
      <c r="D47" s="812"/>
    </row>
    <row r="48" spans="1:4" ht="18" customHeight="1">
      <c r="A48" s="525"/>
      <c r="B48" s="138"/>
      <c r="C48" s="138"/>
      <c r="D48" s="138"/>
    </row>
    <row r="49" spans="1:4" ht="19.5" customHeight="1">
      <c r="A49" s="410"/>
      <c r="B49" s="524"/>
      <c r="C49" s="524"/>
      <c r="D49" s="524"/>
    </row>
    <row r="50" spans="2:4" ht="19.5" customHeight="1">
      <c r="B50" s="526"/>
      <c r="C50" s="139"/>
      <c r="D50" s="250"/>
    </row>
    <row r="51" spans="2:4" ht="19.5" customHeight="1">
      <c r="B51" s="526"/>
      <c r="C51" s="139"/>
      <c r="D51" s="250"/>
    </row>
    <row r="52" spans="2:4" ht="21">
      <c r="B52" s="811"/>
      <c r="C52" s="811"/>
      <c r="D52" s="410"/>
    </row>
    <row r="53" spans="2:3" ht="21">
      <c r="B53" s="811"/>
      <c r="C53" s="811"/>
    </row>
  </sheetData>
  <sheetProtection/>
  <mergeCells count="8">
    <mergeCell ref="B53:C53"/>
    <mergeCell ref="A45:D45"/>
    <mergeCell ref="A46:D46"/>
    <mergeCell ref="A47:D47"/>
    <mergeCell ref="A1:D1"/>
    <mergeCell ref="A2:D2"/>
    <mergeCell ref="A3:D3"/>
    <mergeCell ref="B52:C52"/>
  </mergeCells>
  <printOptions horizontalCentered="1"/>
  <pageMargins left="0.31496062992125984" right="0.2362204724409449" top="0.3937007874015748" bottom="0.1968503937007874" header="0.3937007874015748" footer="0.1968503937007874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C132" sqref="C132"/>
    </sheetView>
  </sheetViews>
  <sheetFormatPr defaultColWidth="10.8515625" defaultRowHeight="21.75"/>
  <cols>
    <col min="1" max="1" width="15.421875" style="11" customWidth="1"/>
    <col min="2" max="2" width="12.00390625" style="12" customWidth="1"/>
    <col min="3" max="3" width="14.00390625" style="12" customWidth="1"/>
    <col min="4" max="4" width="13.8515625" style="12" customWidth="1"/>
    <col min="5" max="7" width="10.8515625" style="11" customWidth="1"/>
    <col min="8" max="8" width="4.8515625" style="11" customWidth="1"/>
    <col min="9" max="9" width="7.8515625" style="11" customWidth="1"/>
    <col min="10" max="10" width="14.00390625" style="11" customWidth="1"/>
    <col min="11" max="11" width="17.421875" style="4" customWidth="1"/>
    <col min="12" max="12" width="22.00390625" style="411" customWidth="1"/>
    <col min="13" max="13" width="32.00390625" style="411" customWidth="1"/>
    <col min="14" max="16384" width="10.8515625" style="411" customWidth="1"/>
  </cols>
  <sheetData>
    <row r="1" spans="1:10" ht="15" customHeight="1">
      <c r="A1" s="841" t="s">
        <v>302</v>
      </c>
      <c r="B1" s="841"/>
      <c r="C1" s="841"/>
      <c r="D1" s="841"/>
      <c r="E1" s="841"/>
      <c r="F1" s="841"/>
      <c r="G1" s="841"/>
      <c r="H1" s="841"/>
      <c r="I1" s="841"/>
      <c r="J1" s="841"/>
    </row>
    <row r="2" spans="1:10" ht="15" customHeight="1">
      <c r="A2" s="848" t="s">
        <v>178</v>
      </c>
      <c r="B2" s="848"/>
      <c r="C2" s="848"/>
      <c r="D2" s="848"/>
      <c r="E2" s="848"/>
      <c r="F2" s="848"/>
      <c r="G2" s="848"/>
      <c r="H2" s="848"/>
      <c r="I2" s="848"/>
      <c r="J2" s="848"/>
    </row>
    <row r="3" spans="1:11" ht="15" customHeight="1">
      <c r="A3" s="840" t="s">
        <v>303</v>
      </c>
      <c r="B3" s="840"/>
      <c r="C3" s="840"/>
      <c r="D3" s="840"/>
      <c r="E3" s="840"/>
      <c r="F3" s="840"/>
      <c r="G3" s="840"/>
      <c r="H3" s="840"/>
      <c r="I3" s="840"/>
      <c r="J3" s="840"/>
      <c r="K3" s="5"/>
    </row>
    <row r="4" spans="1:10" ht="15" customHeight="1" thickBot="1">
      <c r="A4" s="847" t="s">
        <v>738</v>
      </c>
      <c r="B4" s="847"/>
      <c r="C4" s="847"/>
      <c r="D4" s="847"/>
      <c r="E4" s="847"/>
      <c r="F4" s="847"/>
      <c r="G4" s="847"/>
      <c r="H4" s="847"/>
      <c r="I4" s="847"/>
      <c r="J4" s="847"/>
    </row>
    <row r="5" spans="1:10" ht="15" customHeight="1" thickTop="1">
      <c r="A5" s="828" t="s">
        <v>26</v>
      </c>
      <c r="B5" s="829"/>
      <c r="C5" s="829"/>
      <c r="D5" s="830"/>
      <c r="E5" s="842" t="s">
        <v>52</v>
      </c>
      <c r="F5" s="843"/>
      <c r="G5" s="843"/>
      <c r="H5" s="843"/>
      <c r="I5" s="834" t="s">
        <v>47</v>
      </c>
      <c r="J5" s="70" t="s">
        <v>46</v>
      </c>
    </row>
    <row r="6" spans="1:11" ht="15" customHeight="1">
      <c r="A6" s="13" t="s">
        <v>28</v>
      </c>
      <c r="B6" s="80" t="s">
        <v>268</v>
      </c>
      <c r="C6" s="14" t="s">
        <v>70</v>
      </c>
      <c r="D6" s="13" t="s">
        <v>29</v>
      </c>
      <c r="E6" s="844"/>
      <c r="F6" s="845"/>
      <c r="G6" s="845"/>
      <c r="H6" s="845"/>
      <c r="I6" s="835"/>
      <c r="J6" s="13" t="s">
        <v>27</v>
      </c>
      <c r="K6" s="9"/>
    </row>
    <row r="7" spans="1:11" ht="15" customHeight="1">
      <c r="A7" s="13" t="s">
        <v>30</v>
      </c>
      <c r="B7" s="80" t="s">
        <v>269</v>
      </c>
      <c r="C7" s="14" t="s">
        <v>30</v>
      </c>
      <c r="D7" s="13" t="s">
        <v>30</v>
      </c>
      <c r="E7" s="844"/>
      <c r="F7" s="845"/>
      <c r="G7" s="845"/>
      <c r="H7" s="845"/>
      <c r="I7" s="835"/>
      <c r="J7" s="13" t="s">
        <v>271</v>
      </c>
      <c r="K7" s="9"/>
    </row>
    <row r="8" spans="1:11" ht="15" customHeight="1" thickBot="1">
      <c r="A8" s="15"/>
      <c r="B8" s="10" t="s">
        <v>270</v>
      </c>
      <c r="C8" s="16"/>
      <c r="D8" s="15"/>
      <c r="E8" s="846"/>
      <c r="F8" s="847"/>
      <c r="G8" s="847"/>
      <c r="H8" s="847"/>
      <c r="I8" s="836"/>
      <c r="J8" s="15" t="s">
        <v>272</v>
      </c>
      <c r="K8" s="8" t="s">
        <v>179</v>
      </c>
    </row>
    <row r="9" spans="1:11" ht="16.5" customHeight="1" thickTop="1">
      <c r="A9" s="17"/>
      <c r="B9" s="18"/>
      <c r="C9" s="18"/>
      <c r="D9" s="19">
        <v>31765426.86</v>
      </c>
      <c r="E9" s="20" t="s">
        <v>48</v>
      </c>
      <c r="F9" s="21"/>
      <c r="G9" s="21"/>
      <c r="H9" s="21"/>
      <c r="I9" s="22"/>
      <c r="J9" s="74">
        <v>36274972.93</v>
      </c>
      <c r="K9" s="23">
        <v>0</v>
      </c>
    </row>
    <row r="10" spans="1:11" ht="16.5" customHeight="1">
      <c r="A10" s="17"/>
      <c r="B10" s="18"/>
      <c r="C10" s="18"/>
      <c r="D10" s="19"/>
      <c r="E10" s="24" t="s">
        <v>273</v>
      </c>
      <c r="F10" s="21"/>
      <c r="G10" s="21"/>
      <c r="H10" s="21"/>
      <c r="I10" s="22"/>
      <c r="J10" s="61"/>
      <c r="K10" s="60"/>
    </row>
    <row r="11" spans="1:12" ht="16.5" customHeight="1">
      <c r="A11" s="25">
        <v>698500</v>
      </c>
      <c r="B11" s="18"/>
      <c r="C11" s="18">
        <f aca="true" t="shared" si="0" ref="C11:C17">A11</f>
        <v>698500</v>
      </c>
      <c r="D11" s="19">
        <f>J11+K11</f>
        <v>712776.19</v>
      </c>
      <c r="E11" s="26" t="s">
        <v>31</v>
      </c>
      <c r="F11" s="21"/>
      <c r="G11" s="21"/>
      <c r="H11" s="21"/>
      <c r="I11" s="22" t="s">
        <v>194</v>
      </c>
      <c r="J11" s="61">
        <f>ใบผ่านรายการ3!G9</f>
        <v>34300.36</v>
      </c>
      <c r="K11" s="60">
        <f>41961.08+152854.95+210093.94+146474.76+127091.1</f>
        <v>678475.83</v>
      </c>
      <c r="L11" s="412"/>
    </row>
    <row r="12" spans="1:11" ht="16.5" customHeight="1">
      <c r="A12" s="25">
        <v>451800</v>
      </c>
      <c r="B12" s="18"/>
      <c r="C12" s="18">
        <f t="shared" si="0"/>
        <v>451800</v>
      </c>
      <c r="D12" s="19">
        <f>J12+K12</f>
        <v>330447.8</v>
      </c>
      <c r="E12" s="26" t="s">
        <v>32</v>
      </c>
      <c r="F12" s="21"/>
      <c r="G12" s="21"/>
      <c r="H12" s="21"/>
      <c r="I12" s="22" t="s">
        <v>195</v>
      </c>
      <c r="J12" s="61">
        <f>ใบผ่านรายการ3!G26</f>
        <v>28471.8</v>
      </c>
      <c r="K12" s="60">
        <f>9135+64870.2+57697.4+32494.2+39938+28874.2+33949+35018</f>
        <v>301976</v>
      </c>
    </row>
    <row r="13" spans="1:12" ht="16.5" customHeight="1">
      <c r="A13" s="25">
        <v>739300</v>
      </c>
      <c r="B13" s="18"/>
      <c r="C13" s="18">
        <f t="shared" si="0"/>
        <v>739300</v>
      </c>
      <c r="D13" s="19">
        <f aca="true" t="shared" si="1" ref="D13:D65">J13+K13</f>
        <v>464893.52</v>
      </c>
      <c r="E13" s="26" t="s">
        <v>33</v>
      </c>
      <c r="F13" s="21"/>
      <c r="G13" s="21"/>
      <c r="H13" s="21"/>
      <c r="I13" s="22" t="s">
        <v>196</v>
      </c>
      <c r="J13" s="61">
        <f>ใบผ่านรายการ3!G28</f>
        <v>35130</v>
      </c>
      <c r="K13" s="60">
        <f>25910+57568+23950+175040.52+38635+36690+20860+51110</f>
        <v>429763.52</v>
      </c>
      <c r="L13" s="412">
        <f>J11+J12+J13+J15+J16+J17+J18</f>
        <v>1715576.18</v>
      </c>
    </row>
    <row r="14" spans="1:11" ht="16.5" customHeight="1">
      <c r="A14" s="27">
        <v>0</v>
      </c>
      <c r="B14" s="18"/>
      <c r="C14" s="18">
        <f t="shared" si="0"/>
        <v>0</v>
      </c>
      <c r="D14" s="19">
        <f t="shared" si="1"/>
        <v>0</v>
      </c>
      <c r="E14" s="28" t="s">
        <v>54</v>
      </c>
      <c r="F14" s="21"/>
      <c r="G14" s="21"/>
      <c r="H14" s="21"/>
      <c r="I14" s="22"/>
      <c r="J14" s="61">
        <v>0</v>
      </c>
      <c r="K14" s="60">
        <v>0</v>
      </c>
    </row>
    <row r="15" spans="1:12" ht="16.5" customHeight="1">
      <c r="A15" s="25">
        <v>151200</v>
      </c>
      <c r="B15" s="18"/>
      <c r="C15" s="18">
        <f t="shared" si="0"/>
        <v>151200</v>
      </c>
      <c r="D15" s="19">
        <f t="shared" si="1"/>
        <v>47071.7</v>
      </c>
      <c r="E15" s="26" t="s">
        <v>11</v>
      </c>
      <c r="F15" s="21"/>
      <c r="G15" s="21"/>
      <c r="H15" s="21"/>
      <c r="I15" s="22" t="s">
        <v>197</v>
      </c>
      <c r="J15" s="61">
        <f>ใบผ่านรายการ3!G31</f>
        <v>3422.5</v>
      </c>
      <c r="K15" s="60">
        <f>3052.5+6326+4364+4602+5159.7+3919+2698+13528</f>
        <v>43649.2</v>
      </c>
      <c r="L15" s="412">
        <f>SUM(K11:K18)</f>
        <v>19738418.869999997</v>
      </c>
    </row>
    <row r="16" spans="1:11" ht="16.5" customHeight="1">
      <c r="A16" s="27">
        <v>0</v>
      </c>
      <c r="B16" s="18"/>
      <c r="C16" s="18">
        <f t="shared" si="0"/>
        <v>0</v>
      </c>
      <c r="D16" s="19">
        <v>0</v>
      </c>
      <c r="E16" s="28" t="s">
        <v>44</v>
      </c>
      <c r="F16" s="21"/>
      <c r="G16" s="21"/>
      <c r="H16" s="21"/>
      <c r="I16" s="22" t="s">
        <v>198</v>
      </c>
      <c r="J16" s="61">
        <v>0</v>
      </c>
      <c r="K16" s="60">
        <v>0</v>
      </c>
    </row>
    <row r="17" spans="1:12" ht="16.5" customHeight="1">
      <c r="A17" s="25">
        <v>17375000</v>
      </c>
      <c r="B17" s="18"/>
      <c r="C17" s="18">
        <f t="shared" si="0"/>
        <v>17375000</v>
      </c>
      <c r="D17" s="19">
        <f t="shared" si="1"/>
        <v>13210061.839999998</v>
      </c>
      <c r="E17" s="26" t="s">
        <v>86</v>
      </c>
      <c r="F17" s="21"/>
      <c r="G17" s="21"/>
      <c r="H17" s="21"/>
      <c r="I17" s="22" t="s">
        <v>254</v>
      </c>
      <c r="J17" s="61">
        <f>ใบผ่านรายการ3!G41</f>
        <v>1614251.52</v>
      </c>
      <c r="K17" s="60">
        <f>2978497.82+295566.9+1169994.57+394118.23+3010747.37+1525031.42+2221854.01</f>
        <v>11595810.319999998</v>
      </c>
      <c r="L17" s="412"/>
    </row>
    <row r="18" spans="1:11" ht="17.25">
      <c r="A18" s="25">
        <v>34140293</v>
      </c>
      <c r="B18" s="18"/>
      <c r="C18" s="18">
        <v>34140293</v>
      </c>
      <c r="D18" s="19">
        <f t="shared" si="1"/>
        <v>6688744</v>
      </c>
      <c r="E18" s="26" t="s">
        <v>82</v>
      </c>
      <c r="F18" s="21"/>
      <c r="G18" s="21"/>
      <c r="H18" s="21"/>
      <c r="I18" s="22" t="s">
        <v>255</v>
      </c>
      <c r="J18" s="61">
        <v>0</v>
      </c>
      <c r="K18" s="60">
        <f>3344372+3344372</f>
        <v>6688744</v>
      </c>
    </row>
    <row r="19" spans="1:13" ht="17.25" hidden="1">
      <c r="A19" s="17"/>
      <c r="B19" s="18"/>
      <c r="C19" s="18">
        <f aca="true" t="shared" si="2" ref="C19:C24">A19</f>
        <v>0</v>
      </c>
      <c r="D19" s="19">
        <f t="shared" si="1"/>
        <v>0</v>
      </c>
      <c r="E19" s="21" t="s">
        <v>103</v>
      </c>
      <c r="F19" s="21"/>
      <c r="G19" s="21"/>
      <c r="H19" s="21"/>
      <c r="I19" s="22" t="s">
        <v>247</v>
      </c>
      <c r="J19" s="61"/>
      <c r="K19" s="60">
        <v>0</v>
      </c>
      <c r="M19" s="412"/>
    </row>
    <row r="20" spans="1:13" ht="17.25" hidden="1">
      <c r="A20" s="17"/>
      <c r="B20" s="18"/>
      <c r="C20" s="18">
        <f t="shared" si="2"/>
        <v>0</v>
      </c>
      <c r="D20" s="19">
        <f t="shared" si="1"/>
        <v>0</v>
      </c>
      <c r="E20" s="21" t="s">
        <v>249</v>
      </c>
      <c r="F20" s="21"/>
      <c r="G20" s="21"/>
      <c r="H20" s="21"/>
      <c r="I20" s="22" t="s">
        <v>250</v>
      </c>
      <c r="J20" s="61"/>
      <c r="K20" s="60">
        <v>0</v>
      </c>
      <c r="M20" s="412"/>
    </row>
    <row r="21" spans="1:13" ht="17.25" hidden="1">
      <c r="A21" s="17"/>
      <c r="B21" s="18"/>
      <c r="C21" s="18">
        <f t="shared" si="2"/>
        <v>0</v>
      </c>
      <c r="D21" s="19">
        <f t="shared" si="1"/>
        <v>0</v>
      </c>
      <c r="E21" s="21" t="s">
        <v>324</v>
      </c>
      <c r="F21" s="21"/>
      <c r="G21" s="21"/>
      <c r="H21" s="21"/>
      <c r="I21" s="22" t="s">
        <v>323</v>
      </c>
      <c r="J21" s="61"/>
      <c r="K21" s="60">
        <v>0</v>
      </c>
      <c r="M21" s="412"/>
    </row>
    <row r="22" spans="1:12" ht="17.25" hidden="1">
      <c r="A22" s="17"/>
      <c r="B22" s="18"/>
      <c r="C22" s="18">
        <f t="shared" si="2"/>
        <v>0</v>
      </c>
      <c r="D22" s="19">
        <f t="shared" si="1"/>
        <v>0</v>
      </c>
      <c r="E22" s="26" t="s">
        <v>138</v>
      </c>
      <c r="F22" s="21"/>
      <c r="G22" s="21"/>
      <c r="H22" s="21"/>
      <c r="I22" s="22" t="s">
        <v>256</v>
      </c>
      <c r="J22" s="61"/>
      <c r="K22" s="60">
        <v>0</v>
      </c>
      <c r="L22" s="412">
        <f>+J53</f>
        <v>0</v>
      </c>
    </row>
    <row r="23" spans="1:12" ht="17.25" hidden="1">
      <c r="A23" s="25"/>
      <c r="B23" s="18"/>
      <c r="C23" s="18">
        <f t="shared" si="2"/>
        <v>0</v>
      </c>
      <c r="D23" s="19">
        <f t="shared" si="1"/>
        <v>0</v>
      </c>
      <c r="E23" s="26" t="s">
        <v>7</v>
      </c>
      <c r="F23" s="21"/>
      <c r="G23" s="21"/>
      <c r="H23" s="21"/>
      <c r="I23" s="22" t="s">
        <v>192</v>
      </c>
      <c r="J23" s="19"/>
      <c r="K23" s="60">
        <v>0</v>
      </c>
      <c r="L23" s="412">
        <f>J24+J25+J26+J27+J28+J29+J30+J31+J32+J33+J39+J53+J41+J44+J45+J46+J47+J48+J49</f>
        <v>1747595</v>
      </c>
    </row>
    <row r="24" spans="1:12" ht="17.25">
      <c r="A24" s="17"/>
      <c r="B24" s="18">
        <v>0</v>
      </c>
      <c r="C24" s="18">
        <f t="shared" si="2"/>
        <v>0</v>
      </c>
      <c r="D24" s="19">
        <f t="shared" si="1"/>
        <v>0</v>
      </c>
      <c r="E24" s="696" t="s">
        <v>183</v>
      </c>
      <c r="F24" s="30"/>
      <c r="G24" s="126"/>
      <c r="H24" s="30"/>
      <c r="I24" s="22" t="s">
        <v>257</v>
      </c>
      <c r="J24" s="75">
        <v>0</v>
      </c>
      <c r="K24" s="60">
        <v>0</v>
      </c>
      <c r="L24" s="413">
        <f>L13+L23</f>
        <v>3463171.1799999997</v>
      </c>
    </row>
    <row r="25" spans="1:13" ht="17.25">
      <c r="A25" s="25"/>
      <c r="B25" s="18"/>
      <c r="C25" s="18">
        <f aca="true" t="shared" si="3" ref="C25:C34">B25</f>
        <v>0</v>
      </c>
      <c r="D25" s="19">
        <f t="shared" si="1"/>
        <v>71669.25</v>
      </c>
      <c r="E25" s="816" t="s">
        <v>215</v>
      </c>
      <c r="F25" s="817"/>
      <c r="G25" s="817"/>
      <c r="H25" s="817"/>
      <c r="I25" s="22" t="s">
        <v>257</v>
      </c>
      <c r="J25" s="19">
        <f>ใบผ่านรายการ3!F73</f>
        <v>0</v>
      </c>
      <c r="K25" s="60">
        <f>23889.75+23889.75+23889.75</f>
        <v>71669.25</v>
      </c>
      <c r="M25" s="412"/>
    </row>
    <row r="26" spans="1:11" ht="17.25">
      <c r="A26" s="25"/>
      <c r="B26" s="18"/>
      <c r="C26" s="18">
        <f t="shared" si="3"/>
        <v>0</v>
      </c>
      <c r="D26" s="19">
        <f t="shared" si="1"/>
        <v>3433200</v>
      </c>
      <c r="E26" s="696" t="s">
        <v>216</v>
      </c>
      <c r="F26" s="30"/>
      <c r="G26" s="30"/>
      <c r="H26" s="30"/>
      <c r="I26" s="22" t="s">
        <v>257</v>
      </c>
      <c r="J26" s="19">
        <f>ใบผ่านรายการ3!F57</f>
        <v>0</v>
      </c>
      <c r="K26" s="60">
        <f>1144400+1144400+1144400</f>
        <v>3433200</v>
      </c>
    </row>
    <row r="27" spans="1:11" ht="16.5" customHeight="1">
      <c r="A27" s="27"/>
      <c r="B27" s="18"/>
      <c r="C27" s="18">
        <f t="shared" si="3"/>
        <v>0</v>
      </c>
      <c r="D27" s="19">
        <f t="shared" si="1"/>
        <v>640800</v>
      </c>
      <c r="E27" s="696" t="s">
        <v>217</v>
      </c>
      <c r="F27" s="30"/>
      <c r="G27" s="30"/>
      <c r="H27" s="30"/>
      <c r="I27" s="22" t="s">
        <v>257</v>
      </c>
      <c r="J27" s="19">
        <f>ใบผ่านรายการ3!F58</f>
        <v>0</v>
      </c>
      <c r="K27" s="60">
        <f>213600+213600+213600</f>
        <v>640800</v>
      </c>
    </row>
    <row r="28" spans="1:11" ht="16.5" customHeight="1">
      <c r="A28" s="27"/>
      <c r="B28" s="18"/>
      <c r="C28" s="18">
        <f t="shared" si="3"/>
        <v>0</v>
      </c>
      <c r="D28" s="19">
        <f t="shared" si="1"/>
        <v>5520</v>
      </c>
      <c r="E28" s="29" t="s">
        <v>218</v>
      </c>
      <c r="F28" s="30"/>
      <c r="G28" s="30"/>
      <c r="H28" s="30"/>
      <c r="I28" s="22" t="s">
        <v>257</v>
      </c>
      <c r="J28" s="19">
        <f>ใบผ่านรายการ3!F68</f>
        <v>1320</v>
      </c>
      <c r="K28" s="60">
        <f>1500+900+1800</f>
        <v>4200</v>
      </c>
    </row>
    <row r="29" spans="1:13" ht="16.5" customHeight="1">
      <c r="A29" s="25"/>
      <c r="B29" s="18"/>
      <c r="C29" s="18">
        <f t="shared" si="3"/>
        <v>0</v>
      </c>
      <c r="D29" s="19">
        <f t="shared" si="1"/>
        <v>0</v>
      </c>
      <c r="E29" s="816" t="s">
        <v>219</v>
      </c>
      <c r="F29" s="817"/>
      <c r="G29" s="817"/>
      <c r="H29" s="817"/>
      <c r="I29" s="22" t="s">
        <v>257</v>
      </c>
      <c r="J29" s="19">
        <v>0</v>
      </c>
      <c r="K29" s="60">
        <v>0</v>
      </c>
      <c r="M29" s="412"/>
    </row>
    <row r="30" spans="1:11" ht="16.5" customHeight="1">
      <c r="A30" s="33"/>
      <c r="B30" s="18"/>
      <c r="C30" s="18">
        <f t="shared" si="3"/>
        <v>0</v>
      </c>
      <c r="D30" s="19">
        <f t="shared" si="1"/>
        <v>120000</v>
      </c>
      <c r="E30" s="816" t="s">
        <v>220</v>
      </c>
      <c r="F30" s="817"/>
      <c r="G30" s="817"/>
      <c r="H30" s="817"/>
      <c r="I30" s="22" t="s">
        <v>257</v>
      </c>
      <c r="J30" s="19">
        <f>ใบผ่านรายการ3!F67</f>
        <v>30000</v>
      </c>
      <c r="K30" s="60">
        <f>30000+30000+30000</f>
        <v>90000</v>
      </c>
    </row>
    <row r="31" spans="1:11" ht="16.5" customHeight="1">
      <c r="A31" s="25"/>
      <c r="B31" s="18"/>
      <c r="C31" s="18">
        <f t="shared" si="3"/>
        <v>0</v>
      </c>
      <c r="D31" s="19">
        <f t="shared" si="1"/>
        <v>227500</v>
      </c>
      <c r="E31" s="816" t="s">
        <v>251</v>
      </c>
      <c r="F31" s="817"/>
      <c r="G31" s="817"/>
      <c r="H31" s="818"/>
      <c r="I31" s="22" t="s">
        <v>257</v>
      </c>
      <c r="J31" s="19">
        <f>ใบผ่านรายการ3!F72</f>
        <v>52500</v>
      </c>
      <c r="K31" s="60">
        <f>70000+52500+52500</f>
        <v>175000</v>
      </c>
    </row>
    <row r="32" spans="1:12" ht="16.5" customHeight="1">
      <c r="A32" s="17"/>
      <c r="B32" s="18"/>
      <c r="C32" s="18">
        <f t="shared" si="3"/>
        <v>0</v>
      </c>
      <c r="D32" s="19">
        <f t="shared" si="1"/>
        <v>27600</v>
      </c>
      <c r="E32" s="816" t="s">
        <v>308</v>
      </c>
      <c r="F32" s="817"/>
      <c r="G32" s="817"/>
      <c r="H32" s="817"/>
      <c r="I32" s="22" t="s">
        <v>257</v>
      </c>
      <c r="J32" s="19">
        <v>0</v>
      </c>
      <c r="K32" s="60">
        <v>27600</v>
      </c>
      <c r="L32" s="412">
        <f>J11+J12+J13+J15+J17+J31</f>
        <v>1768076.18</v>
      </c>
    </row>
    <row r="33" spans="1:11" ht="16.5" customHeight="1">
      <c r="A33" s="17"/>
      <c r="B33" s="18"/>
      <c r="C33" s="18">
        <f t="shared" si="3"/>
        <v>0</v>
      </c>
      <c r="D33" s="19">
        <f t="shared" si="1"/>
        <v>21000</v>
      </c>
      <c r="E33" s="816" t="s">
        <v>252</v>
      </c>
      <c r="F33" s="817"/>
      <c r="G33" s="817"/>
      <c r="H33" s="817"/>
      <c r="I33" s="22" t="s">
        <v>257</v>
      </c>
      <c r="J33" s="19">
        <v>0</v>
      </c>
      <c r="K33" s="60">
        <v>21000</v>
      </c>
    </row>
    <row r="34" spans="1:13" ht="16.5" customHeight="1">
      <c r="A34" s="17"/>
      <c r="B34" s="18"/>
      <c r="C34" s="18">
        <f t="shared" si="3"/>
        <v>0</v>
      </c>
      <c r="D34" s="19">
        <f t="shared" si="1"/>
        <v>20000</v>
      </c>
      <c r="E34" s="831" t="s">
        <v>591</v>
      </c>
      <c r="F34" s="832"/>
      <c r="G34" s="832"/>
      <c r="H34" s="833"/>
      <c r="I34" s="22" t="s">
        <v>257</v>
      </c>
      <c r="J34" s="19">
        <v>0</v>
      </c>
      <c r="K34" s="60">
        <v>20000</v>
      </c>
      <c r="L34" s="412"/>
      <c r="M34" s="412"/>
    </row>
    <row r="35" spans="1:13" ht="16.5" customHeight="1">
      <c r="A35" s="17"/>
      <c r="B35" s="18"/>
      <c r="C35" s="18"/>
      <c r="D35" s="19">
        <f>J35+K35</f>
        <v>9600</v>
      </c>
      <c r="E35" s="831" t="s">
        <v>637</v>
      </c>
      <c r="F35" s="832"/>
      <c r="G35" s="832"/>
      <c r="H35" s="833"/>
      <c r="I35" s="22" t="s">
        <v>257</v>
      </c>
      <c r="J35" s="19">
        <v>0</v>
      </c>
      <c r="K35" s="60">
        <v>9600</v>
      </c>
      <c r="L35" s="412"/>
      <c r="M35" s="412"/>
    </row>
    <row r="36" spans="1:13" ht="16.5" customHeight="1">
      <c r="A36" s="17"/>
      <c r="B36" s="18"/>
      <c r="C36" s="18"/>
      <c r="D36" s="19">
        <f>J36+K36</f>
        <v>100000</v>
      </c>
      <c r="E36" s="831" t="s">
        <v>638</v>
      </c>
      <c r="F36" s="832"/>
      <c r="G36" s="832"/>
      <c r="H36" s="833"/>
      <c r="I36" s="22" t="s">
        <v>257</v>
      </c>
      <c r="J36" s="19">
        <v>0</v>
      </c>
      <c r="K36" s="60">
        <v>100000</v>
      </c>
      <c r="L36" s="412"/>
      <c r="M36" s="412"/>
    </row>
    <row r="37" spans="1:13" ht="16.5" customHeight="1">
      <c r="A37" s="17"/>
      <c r="B37" s="18"/>
      <c r="C37" s="18"/>
      <c r="D37" s="19">
        <f>J37+K37</f>
        <v>50000</v>
      </c>
      <c r="E37" s="831" t="s">
        <v>639</v>
      </c>
      <c r="F37" s="832"/>
      <c r="G37" s="832"/>
      <c r="H37" s="833"/>
      <c r="I37" s="22" t="s">
        <v>257</v>
      </c>
      <c r="J37" s="19">
        <v>0</v>
      </c>
      <c r="K37" s="60">
        <v>50000</v>
      </c>
      <c r="L37" s="412"/>
      <c r="M37" s="412"/>
    </row>
    <row r="38" spans="1:13" ht="32.25" customHeight="1">
      <c r="A38" s="17"/>
      <c r="B38" s="18"/>
      <c r="C38" s="18"/>
      <c r="D38" s="19">
        <f>J38+K38</f>
        <v>200000</v>
      </c>
      <c r="E38" s="831" t="s">
        <v>640</v>
      </c>
      <c r="F38" s="832"/>
      <c r="G38" s="832"/>
      <c r="H38" s="833"/>
      <c r="I38" s="22" t="s">
        <v>257</v>
      </c>
      <c r="J38" s="19">
        <v>0</v>
      </c>
      <c r="K38" s="60">
        <v>200000</v>
      </c>
      <c r="L38" s="412"/>
      <c r="M38" s="412"/>
    </row>
    <row r="39" spans="1:12" ht="16.5" customHeight="1">
      <c r="A39" s="17"/>
      <c r="B39" s="18"/>
      <c r="C39" s="18"/>
      <c r="D39" s="19">
        <f t="shared" si="1"/>
        <v>30000</v>
      </c>
      <c r="E39" s="831" t="s">
        <v>334</v>
      </c>
      <c r="F39" s="832"/>
      <c r="G39" s="832"/>
      <c r="H39" s="833"/>
      <c r="I39" s="22" t="s">
        <v>257</v>
      </c>
      <c r="J39" s="19">
        <v>0</v>
      </c>
      <c r="K39" s="60">
        <v>30000</v>
      </c>
      <c r="L39" s="412"/>
    </row>
    <row r="40" spans="1:12" ht="16.5" customHeight="1">
      <c r="A40" s="17"/>
      <c r="B40" s="18"/>
      <c r="C40" s="18"/>
      <c r="D40" s="19">
        <f t="shared" si="1"/>
        <v>42000</v>
      </c>
      <c r="E40" s="831" t="s">
        <v>592</v>
      </c>
      <c r="F40" s="832"/>
      <c r="G40" s="832"/>
      <c r="H40" s="833"/>
      <c r="I40" s="22" t="s">
        <v>257</v>
      </c>
      <c r="J40" s="19">
        <v>0</v>
      </c>
      <c r="K40" s="60">
        <v>42000</v>
      </c>
      <c r="L40" s="412"/>
    </row>
    <row r="41" spans="1:12" ht="16.5" customHeight="1">
      <c r="A41" s="17"/>
      <c r="B41" s="18"/>
      <c r="C41" s="18"/>
      <c r="D41" s="19">
        <f t="shared" si="1"/>
        <v>51000</v>
      </c>
      <c r="E41" s="697" t="s">
        <v>593</v>
      </c>
      <c r="F41" s="30"/>
      <c r="G41" s="30"/>
      <c r="H41" s="30"/>
      <c r="I41" s="22" t="s">
        <v>257</v>
      </c>
      <c r="J41" s="19">
        <v>0</v>
      </c>
      <c r="K41" s="60">
        <v>51000</v>
      </c>
      <c r="L41" s="412"/>
    </row>
    <row r="42" spans="1:12" ht="16.5" customHeight="1">
      <c r="A42" s="17"/>
      <c r="B42" s="18"/>
      <c r="C42" s="18"/>
      <c r="D42" s="19">
        <f>J42+K42</f>
        <v>172540</v>
      </c>
      <c r="E42" s="697" t="s">
        <v>641</v>
      </c>
      <c r="F42" s="30"/>
      <c r="G42" s="30"/>
      <c r="H42" s="30"/>
      <c r="I42" s="22" t="s">
        <v>511</v>
      </c>
      <c r="J42" s="19">
        <f>ใบผ่านรายการ3!F60</f>
        <v>0</v>
      </c>
      <c r="K42" s="60">
        <f>86270+86270</f>
        <v>172540</v>
      </c>
      <c r="L42" s="412"/>
    </row>
    <row r="43" spans="1:12" ht="16.5" customHeight="1">
      <c r="A43" s="17"/>
      <c r="B43" s="18"/>
      <c r="C43" s="18"/>
      <c r="D43" s="19">
        <f>J43+K43</f>
        <v>120770</v>
      </c>
      <c r="E43" s="697" t="s">
        <v>642</v>
      </c>
      <c r="F43" s="30"/>
      <c r="G43" s="30"/>
      <c r="H43" s="30"/>
      <c r="I43" s="22" t="s">
        <v>281</v>
      </c>
      <c r="J43" s="19">
        <f>ใบผ่านรายการ3!F61</f>
        <v>0</v>
      </c>
      <c r="K43" s="60">
        <f>60385+60385</f>
        <v>120770</v>
      </c>
      <c r="L43" s="412"/>
    </row>
    <row r="44" spans="1:12" ht="16.5" customHeight="1">
      <c r="A44" s="17"/>
      <c r="B44" s="18"/>
      <c r="C44" s="18"/>
      <c r="D44" s="19">
        <f t="shared" si="1"/>
        <v>682700</v>
      </c>
      <c r="E44" s="126" t="s">
        <v>392</v>
      </c>
      <c r="F44" s="30"/>
      <c r="G44" s="30"/>
      <c r="H44" s="30"/>
      <c r="I44" s="22" t="s">
        <v>257</v>
      </c>
      <c r="J44" s="19">
        <f>ใบผ่านรายการ3!F59</f>
        <v>0</v>
      </c>
      <c r="K44" s="60">
        <f>341350+341350</f>
        <v>682700</v>
      </c>
      <c r="L44" s="412"/>
    </row>
    <row r="45" spans="1:12" ht="16.5" customHeight="1">
      <c r="A45" s="17"/>
      <c r="B45" s="18"/>
      <c r="C45" s="18"/>
      <c r="D45" s="19">
        <f t="shared" si="1"/>
        <v>43115</v>
      </c>
      <c r="E45" s="831" t="s">
        <v>594</v>
      </c>
      <c r="F45" s="832"/>
      <c r="G45" s="832"/>
      <c r="H45" s="833"/>
      <c r="I45" s="22" t="s">
        <v>257</v>
      </c>
      <c r="J45" s="19">
        <f>ใบผ่านรายการ3!F62</f>
        <v>0</v>
      </c>
      <c r="K45" s="60">
        <f>14372+14371+14372</f>
        <v>43115</v>
      </c>
      <c r="L45" s="412"/>
    </row>
    <row r="46" spans="1:12" ht="16.5" customHeight="1">
      <c r="A46" s="17"/>
      <c r="B46" s="18"/>
      <c r="C46" s="18"/>
      <c r="D46" s="19">
        <f t="shared" si="1"/>
        <v>1087443</v>
      </c>
      <c r="E46" s="831" t="s">
        <v>595</v>
      </c>
      <c r="F46" s="832"/>
      <c r="G46" s="832"/>
      <c r="H46" s="833"/>
      <c r="I46" s="22" t="s">
        <v>257</v>
      </c>
      <c r="J46" s="19">
        <f>ใบผ่านรายการ3!F64</f>
        <v>0</v>
      </c>
      <c r="K46" s="60">
        <f>364557+364557+358329</f>
        <v>1087443</v>
      </c>
      <c r="L46" s="412"/>
    </row>
    <row r="47" spans="1:12" ht="16.5" customHeight="1">
      <c r="A47" s="17"/>
      <c r="B47" s="18"/>
      <c r="C47" s="18"/>
      <c r="D47" s="19">
        <f t="shared" si="1"/>
        <v>111000</v>
      </c>
      <c r="E47" s="831" t="s">
        <v>596</v>
      </c>
      <c r="F47" s="832"/>
      <c r="G47" s="832"/>
      <c r="H47" s="833"/>
      <c r="I47" s="22" t="s">
        <v>257</v>
      </c>
      <c r="J47" s="19">
        <f>ใบผ่านรายการ3!F63</f>
        <v>0</v>
      </c>
      <c r="K47" s="60">
        <f>39000+36000+36000</f>
        <v>111000</v>
      </c>
      <c r="L47" s="412"/>
    </row>
    <row r="48" spans="1:12" ht="16.5" customHeight="1">
      <c r="A48" s="17"/>
      <c r="B48" s="18"/>
      <c r="C48" s="18"/>
      <c r="D48" s="19">
        <f t="shared" si="1"/>
        <v>2270000</v>
      </c>
      <c r="E48" s="831" t="s">
        <v>597</v>
      </c>
      <c r="F48" s="832"/>
      <c r="G48" s="832"/>
      <c r="H48" s="833"/>
      <c r="I48" s="22" t="s">
        <v>257</v>
      </c>
      <c r="J48" s="19">
        <f>ใบผ่านรายการ3!F65</f>
        <v>0</v>
      </c>
      <c r="K48" s="60">
        <f>761000+761000+748000</f>
        <v>2270000</v>
      </c>
      <c r="L48" s="412"/>
    </row>
    <row r="49" spans="1:12" ht="16.5" customHeight="1">
      <c r="A49" s="17"/>
      <c r="B49" s="18"/>
      <c r="C49" s="18"/>
      <c r="D49" s="19">
        <f t="shared" si="1"/>
        <v>6112750</v>
      </c>
      <c r="E49" s="831" t="s">
        <v>598</v>
      </c>
      <c r="F49" s="832"/>
      <c r="G49" s="832"/>
      <c r="H49" s="833"/>
      <c r="I49" s="22" t="s">
        <v>257</v>
      </c>
      <c r="J49" s="19">
        <f>ใบผ่านรายการ3!F66</f>
        <v>1663775</v>
      </c>
      <c r="K49" s="60">
        <f>1469580+1469580+1509815</f>
        <v>4448975</v>
      </c>
      <c r="L49" s="412"/>
    </row>
    <row r="50" spans="1:12" ht="16.5" customHeight="1">
      <c r="A50" s="17"/>
      <c r="B50" s="18"/>
      <c r="C50" s="18"/>
      <c r="D50" s="19">
        <f t="shared" si="1"/>
        <v>15000</v>
      </c>
      <c r="E50" s="816" t="s">
        <v>698</v>
      </c>
      <c r="F50" s="817"/>
      <c r="G50" s="817"/>
      <c r="H50" s="818"/>
      <c r="I50" s="22" t="s">
        <v>257</v>
      </c>
      <c r="J50" s="19">
        <v>0</v>
      </c>
      <c r="K50" s="60">
        <f>15000</f>
        <v>15000</v>
      </c>
      <c r="L50" s="412"/>
    </row>
    <row r="51" spans="1:12" ht="16.5" customHeight="1">
      <c r="A51" s="17"/>
      <c r="B51" s="18"/>
      <c r="C51" s="18"/>
      <c r="D51" s="19">
        <f t="shared" si="1"/>
        <v>126480</v>
      </c>
      <c r="E51" s="816" t="s">
        <v>699</v>
      </c>
      <c r="F51" s="817"/>
      <c r="G51" s="817"/>
      <c r="H51" s="818"/>
      <c r="I51" s="22" t="s">
        <v>257</v>
      </c>
      <c r="J51" s="154">
        <v>0</v>
      </c>
      <c r="K51" s="60">
        <f>126480</f>
        <v>126480</v>
      </c>
      <c r="L51" s="412"/>
    </row>
    <row r="52" spans="1:12" ht="16.5" customHeight="1">
      <c r="A52" s="17"/>
      <c r="B52" s="18"/>
      <c r="C52" s="18"/>
      <c r="D52" s="19">
        <f t="shared" si="1"/>
        <v>190194</v>
      </c>
      <c r="E52" s="816" t="s">
        <v>700</v>
      </c>
      <c r="F52" s="817"/>
      <c r="G52" s="817"/>
      <c r="H52" s="818"/>
      <c r="I52" s="22" t="s">
        <v>257</v>
      </c>
      <c r="J52" s="154">
        <v>0</v>
      </c>
      <c r="K52" s="60">
        <v>190194</v>
      </c>
      <c r="L52" s="412"/>
    </row>
    <row r="53" spans="1:11" ht="16.5" customHeight="1">
      <c r="A53" s="17"/>
      <c r="B53" s="18"/>
      <c r="C53" s="18">
        <f>B53</f>
        <v>0</v>
      </c>
      <c r="D53" s="19">
        <f t="shared" si="1"/>
        <v>0</v>
      </c>
      <c r="E53" s="29" t="s">
        <v>368</v>
      </c>
      <c r="F53" s="30"/>
      <c r="G53" s="30"/>
      <c r="H53" s="30"/>
      <c r="I53" s="22" t="s">
        <v>257</v>
      </c>
      <c r="J53" s="19">
        <v>0</v>
      </c>
      <c r="K53" s="60">
        <v>0</v>
      </c>
    </row>
    <row r="54" spans="1:11" ht="16.5" customHeight="1" hidden="1">
      <c r="A54" s="17"/>
      <c r="B54" s="18">
        <f>D54</f>
        <v>0</v>
      </c>
      <c r="C54" s="18">
        <f aca="true" t="shared" si="4" ref="C54:C66">A54</f>
        <v>0</v>
      </c>
      <c r="D54" s="19">
        <f t="shared" si="1"/>
        <v>0</v>
      </c>
      <c r="E54" s="126" t="s">
        <v>307</v>
      </c>
      <c r="F54" s="30"/>
      <c r="G54" s="30"/>
      <c r="H54" s="30"/>
      <c r="I54" s="22" t="s">
        <v>257</v>
      </c>
      <c r="J54" s="19">
        <v>0</v>
      </c>
      <c r="K54" s="60">
        <v>0</v>
      </c>
    </row>
    <row r="55" spans="1:11" ht="16.5" customHeight="1">
      <c r="A55" s="17"/>
      <c r="B55" s="18">
        <f>D55</f>
        <v>96000</v>
      </c>
      <c r="C55" s="18">
        <f t="shared" si="4"/>
        <v>0</v>
      </c>
      <c r="D55" s="19">
        <f>J55+K55</f>
        <v>96000</v>
      </c>
      <c r="E55" s="126" t="s">
        <v>636</v>
      </c>
      <c r="F55" s="30"/>
      <c r="G55" s="30"/>
      <c r="H55" s="30"/>
      <c r="I55" s="22" t="s">
        <v>257</v>
      </c>
      <c r="J55" s="19">
        <v>0</v>
      </c>
      <c r="K55" s="60">
        <v>96000</v>
      </c>
    </row>
    <row r="56" spans="1:11" ht="16.5" customHeight="1">
      <c r="A56" s="17"/>
      <c r="B56" s="18">
        <v>0</v>
      </c>
      <c r="C56" s="18">
        <f t="shared" si="4"/>
        <v>0</v>
      </c>
      <c r="D56" s="19">
        <f t="shared" si="1"/>
        <v>0</v>
      </c>
      <c r="E56" s="21" t="s">
        <v>94</v>
      </c>
      <c r="F56" s="21"/>
      <c r="G56" s="21"/>
      <c r="H56" s="21"/>
      <c r="I56" s="22" t="s">
        <v>258</v>
      </c>
      <c r="J56" s="19">
        <f>'ใบผ่านรายการ 1 '!H15</f>
        <v>0</v>
      </c>
      <c r="K56" s="60">
        <v>0</v>
      </c>
    </row>
    <row r="57" spans="1:12" ht="16.5" customHeight="1">
      <c r="A57" s="17"/>
      <c r="B57" s="18">
        <v>0</v>
      </c>
      <c r="C57" s="18">
        <f t="shared" si="4"/>
        <v>0</v>
      </c>
      <c r="D57" s="19">
        <f t="shared" si="1"/>
        <v>478181.76999999996</v>
      </c>
      <c r="E57" s="21" t="s">
        <v>87</v>
      </c>
      <c r="F57" s="21"/>
      <c r="G57" s="21"/>
      <c r="H57" s="21"/>
      <c r="I57" s="22" t="s">
        <v>191</v>
      </c>
      <c r="J57" s="19">
        <f>'ใบผ่านรายการ 1 '!I20+'ใบผ่านรายการ  2'!H46</f>
        <v>62671.159999999996</v>
      </c>
      <c r="K57" s="60">
        <f>33090.4+19115.91+49118.57+34234.73+197545.75+25449.93+21407.47+35547.85</f>
        <v>415510.61</v>
      </c>
      <c r="L57" s="412"/>
    </row>
    <row r="58" spans="1:11" ht="16.5" customHeight="1" hidden="1">
      <c r="A58" s="17"/>
      <c r="B58" s="18">
        <f>D58</f>
        <v>0</v>
      </c>
      <c r="C58" s="18">
        <f t="shared" si="4"/>
        <v>0</v>
      </c>
      <c r="D58" s="19">
        <f t="shared" si="1"/>
        <v>0</v>
      </c>
      <c r="E58" s="21" t="s">
        <v>81</v>
      </c>
      <c r="F58" s="21"/>
      <c r="G58" s="21"/>
      <c r="H58" s="21"/>
      <c r="I58" s="22" t="s">
        <v>262</v>
      </c>
      <c r="J58" s="19">
        <v>0</v>
      </c>
      <c r="K58" s="60">
        <v>0</v>
      </c>
    </row>
    <row r="59" spans="1:13" ht="17.25">
      <c r="A59" s="17"/>
      <c r="B59" s="18">
        <v>0</v>
      </c>
      <c r="C59" s="18">
        <f t="shared" si="4"/>
        <v>0</v>
      </c>
      <c r="D59" s="19">
        <f t="shared" si="1"/>
        <v>4100</v>
      </c>
      <c r="E59" s="21" t="s">
        <v>139</v>
      </c>
      <c r="F59" s="21"/>
      <c r="G59" s="21"/>
      <c r="H59" s="21"/>
      <c r="I59" s="22" t="s">
        <v>253</v>
      </c>
      <c r="J59" s="19">
        <f>'ใบผ่านรายการ 1 '!H31+'ใบผ่านรายการ 1 '!H32</f>
        <v>0</v>
      </c>
      <c r="K59" s="60">
        <f>600+1900+800+800</f>
        <v>4100</v>
      </c>
      <c r="M59" s="412"/>
    </row>
    <row r="60" spans="1:13" ht="17.25" hidden="1">
      <c r="A60" s="36"/>
      <c r="B60" s="18">
        <v>0</v>
      </c>
      <c r="C60" s="18">
        <f t="shared" si="4"/>
        <v>0</v>
      </c>
      <c r="D60" s="19">
        <f t="shared" si="1"/>
        <v>0</v>
      </c>
      <c r="E60" s="37" t="s">
        <v>143</v>
      </c>
      <c r="F60" s="37"/>
      <c r="G60" s="37"/>
      <c r="H60" s="37"/>
      <c r="I60" s="22" t="s">
        <v>276</v>
      </c>
      <c r="J60" s="19">
        <v>0</v>
      </c>
      <c r="K60" s="60">
        <v>0</v>
      </c>
      <c r="M60" s="412"/>
    </row>
    <row r="61" spans="1:13" ht="17.25" hidden="1">
      <c r="A61" s="17"/>
      <c r="B61" s="18">
        <v>0</v>
      </c>
      <c r="C61" s="18">
        <f t="shared" si="4"/>
        <v>0</v>
      </c>
      <c r="D61" s="19">
        <f t="shared" si="1"/>
        <v>0</v>
      </c>
      <c r="E61" s="37" t="s">
        <v>144</v>
      </c>
      <c r="F61" s="37"/>
      <c r="G61" s="37"/>
      <c r="H61" s="37"/>
      <c r="I61" s="22" t="s">
        <v>276</v>
      </c>
      <c r="J61" s="19">
        <f>'ใบผ่านรายการ 1 '!H29</f>
        <v>0</v>
      </c>
      <c r="K61" s="60">
        <v>0</v>
      </c>
      <c r="M61" s="412"/>
    </row>
    <row r="62" spans="1:11" ht="17.25">
      <c r="A62" s="17"/>
      <c r="B62" s="18">
        <v>0</v>
      </c>
      <c r="C62" s="18">
        <f t="shared" si="4"/>
        <v>0</v>
      </c>
      <c r="D62" s="19">
        <f t="shared" si="1"/>
        <v>19500</v>
      </c>
      <c r="E62" s="37" t="s">
        <v>154</v>
      </c>
      <c r="F62" s="37"/>
      <c r="G62" s="37"/>
      <c r="H62" s="37"/>
      <c r="I62" s="22" t="s">
        <v>257</v>
      </c>
      <c r="J62" s="19">
        <v>0</v>
      </c>
      <c r="K62" s="60">
        <f>19000+500</f>
        <v>19500</v>
      </c>
    </row>
    <row r="63" spans="1:11" ht="17.25">
      <c r="A63" s="17"/>
      <c r="B63" s="18">
        <v>0</v>
      </c>
      <c r="C63" s="18">
        <f t="shared" si="4"/>
        <v>0</v>
      </c>
      <c r="D63" s="19">
        <f t="shared" si="1"/>
        <v>63.9</v>
      </c>
      <c r="E63" s="37" t="s">
        <v>706</v>
      </c>
      <c r="F63" s="37"/>
      <c r="G63" s="37"/>
      <c r="H63" s="37"/>
      <c r="I63" s="22" t="s">
        <v>257</v>
      </c>
      <c r="J63" s="19">
        <f>'ใบผ่านรายการ 1 '!H30</f>
        <v>0</v>
      </c>
      <c r="K63" s="60">
        <v>63.9</v>
      </c>
    </row>
    <row r="64" spans="1:11" ht="17.25">
      <c r="A64" s="17"/>
      <c r="B64" s="18">
        <v>0</v>
      </c>
      <c r="C64" s="18">
        <f t="shared" si="4"/>
        <v>0</v>
      </c>
      <c r="D64" s="19">
        <f t="shared" si="1"/>
        <v>15740</v>
      </c>
      <c r="E64" s="37" t="s">
        <v>159</v>
      </c>
      <c r="F64" s="37"/>
      <c r="G64" s="37"/>
      <c r="H64" s="37"/>
      <c r="I64" s="22" t="s">
        <v>257</v>
      </c>
      <c r="J64" s="19">
        <f>'ใบผ่านรายการ 1 '!H34</f>
        <v>0</v>
      </c>
      <c r="K64" s="60">
        <f>7540+1000+7200</f>
        <v>15740</v>
      </c>
    </row>
    <row r="65" spans="1:11" ht="17.25">
      <c r="A65" s="17"/>
      <c r="B65" s="18">
        <v>0</v>
      </c>
      <c r="C65" s="18">
        <f t="shared" si="4"/>
        <v>0</v>
      </c>
      <c r="D65" s="19">
        <f t="shared" si="1"/>
        <v>26840</v>
      </c>
      <c r="E65" s="37" t="s">
        <v>644</v>
      </c>
      <c r="F65" s="37"/>
      <c r="G65" s="37"/>
      <c r="H65" s="37"/>
      <c r="I65" s="22" t="s">
        <v>373</v>
      </c>
      <c r="J65" s="19">
        <v>0</v>
      </c>
      <c r="K65" s="60">
        <f>26840</f>
        <v>26840</v>
      </c>
    </row>
    <row r="66" spans="1:11" ht="17.25" hidden="1">
      <c r="A66" s="25"/>
      <c r="B66" s="18">
        <f>D66</f>
        <v>0</v>
      </c>
      <c r="C66" s="18">
        <f t="shared" si="4"/>
        <v>0</v>
      </c>
      <c r="D66" s="19">
        <f>J66</f>
        <v>0</v>
      </c>
      <c r="E66" s="21"/>
      <c r="F66" s="21"/>
      <c r="G66" s="21"/>
      <c r="H66" s="21"/>
      <c r="I66" s="22"/>
      <c r="J66" s="19">
        <v>0</v>
      </c>
      <c r="K66" s="35">
        <v>0</v>
      </c>
    </row>
    <row r="67" spans="1:11" ht="18" thickBot="1">
      <c r="A67" s="65">
        <f>SUM(A11:A66)</f>
        <v>53556093</v>
      </c>
      <c r="B67" s="65">
        <f>SUM(B11:B66)</f>
        <v>96000</v>
      </c>
      <c r="C67" s="65">
        <f>SUM(C11:C66)</f>
        <v>53556093</v>
      </c>
      <c r="D67" s="42">
        <f>SUM(D11:D66)</f>
        <v>38076301.97</v>
      </c>
      <c r="E67" s="837" t="s">
        <v>66</v>
      </c>
      <c r="F67" s="838"/>
      <c r="G67" s="838"/>
      <c r="H67" s="838"/>
      <c r="I67" s="69"/>
      <c r="J67" s="42">
        <f>SUM(J11:J66)</f>
        <v>3525842.34</v>
      </c>
      <c r="K67" s="54">
        <f>SUM(K9:K65)</f>
        <v>34550459.629999995</v>
      </c>
    </row>
    <row r="68" spans="1:11" ht="16.5" customHeight="1" hidden="1" thickTop="1">
      <c r="A68" s="38"/>
      <c r="B68" s="38"/>
      <c r="C68" s="38"/>
      <c r="D68" s="522"/>
      <c r="E68" s="519"/>
      <c r="F68" s="519"/>
      <c r="G68" s="519"/>
      <c r="H68" s="519"/>
      <c r="I68" s="520"/>
      <c r="J68" s="522"/>
      <c r="K68" s="521"/>
    </row>
    <row r="69" spans="1:11" ht="16.5" customHeight="1" hidden="1">
      <c r="A69" s="38"/>
      <c r="B69" s="38"/>
      <c r="C69" s="38"/>
      <c r="D69" s="522"/>
      <c r="E69" s="519"/>
      <c r="F69" s="519"/>
      <c r="G69" s="519"/>
      <c r="H69" s="519"/>
      <c r="I69" s="520"/>
      <c r="J69" s="522"/>
      <c r="K69" s="521"/>
    </row>
    <row r="70" spans="1:10" ht="16.5" customHeight="1" thickBot="1" thickTop="1">
      <c r="A70" s="839" t="s">
        <v>301</v>
      </c>
      <c r="B70" s="839"/>
      <c r="C70" s="839"/>
      <c r="D70" s="839"/>
      <c r="E70" s="839"/>
      <c r="F70" s="839"/>
      <c r="G70" s="839"/>
      <c r="H70" s="839"/>
      <c r="I70" s="839"/>
      <c r="J70" s="839"/>
    </row>
    <row r="71" spans="1:11" ht="16.5" customHeight="1" thickTop="1">
      <c r="A71" s="828" t="s">
        <v>26</v>
      </c>
      <c r="B71" s="829"/>
      <c r="C71" s="829"/>
      <c r="D71" s="830"/>
      <c r="E71" s="842" t="s">
        <v>52</v>
      </c>
      <c r="F71" s="843"/>
      <c r="G71" s="843"/>
      <c r="H71" s="843"/>
      <c r="I71" s="834" t="s">
        <v>47</v>
      </c>
      <c r="J71" s="70" t="s">
        <v>46</v>
      </c>
      <c r="K71" s="854" t="s">
        <v>29</v>
      </c>
    </row>
    <row r="72" spans="1:11" ht="16.5" customHeight="1">
      <c r="A72" s="13" t="s">
        <v>28</v>
      </c>
      <c r="B72" s="80" t="s">
        <v>268</v>
      </c>
      <c r="C72" s="14" t="s">
        <v>70</v>
      </c>
      <c r="D72" s="13" t="s">
        <v>29</v>
      </c>
      <c r="E72" s="844"/>
      <c r="F72" s="845"/>
      <c r="G72" s="845"/>
      <c r="H72" s="845"/>
      <c r="I72" s="835"/>
      <c r="J72" s="13" t="s">
        <v>27</v>
      </c>
      <c r="K72" s="854"/>
    </row>
    <row r="73" spans="1:11" ht="16.5" customHeight="1">
      <c r="A73" s="13" t="s">
        <v>30</v>
      </c>
      <c r="B73" s="80" t="s">
        <v>269</v>
      </c>
      <c r="C73" s="14" t="s">
        <v>30</v>
      </c>
      <c r="D73" s="13" t="s">
        <v>30</v>
      </c>
      <c r="E73" s="844"/>
      <c r="F73" s="845"/>
      <c r="G73" s="845"/>
      <c r="H73" s="845"/>
      <c r="I73" s="835"/>
      <c r="J73" s="13" t="s">
        <v>271</v>
      </c>
      <c r="K73" s="854"/>
    </row>
    <row r="74" spans="1:11" ht="16.5" customHeight="1" thickBot="1">
      <c r="A74" s="15"/>
      <c r="B74" s="10" t="s">
        <v>270</v>
      </c>
      <c r="C74" s="16"/>
      <c r="D74" s="15"/>
      <c r="E74" s="846"/>
      <c r="F74" s="847"/>
      <c r="G74" s="847"/>
      <c r="H74" s="847"/>
      <c r="I74" s="836"/>
      <c r="J74" s="15" t="s">
        <v>272</v>
      </c>
      <c r="K74" s="855"/>
    </row>
    <row r="75" spans="1:11" ht="16.5" customHeight="1" thickTop="1">
      <c r="A75" s="79"/>
      <c r="B75" s="18"/>
      <c r="C75" s="18"/>
      <c r="D75" s="17"/>
      <c r="E75" s="43" t="s">
        <v>67</v>
      </c>
      <c r="F75" s="21"/>
      <c r="G75" s="21"/>
      <c r="H75" s="21"/>
      <c r="I75" s="44"/>
      <c r="J75" s="18"/>
      <c r="K75" s="45"/>
    </row>
    <row r="76" spans="1:11" ht="16.5" customHeight="1">
      <c r="A76" s="18">
        <v>9794103</v>
      </c>
      <c r="B76" s="18"/>
      <c r="C76" s="18">
        <f>A76</f>
        <v>9794103</v>
      </c>
      <c r="D76" s="76">
        <f>J76+K76</f>
        <v>2596386.64</v>
      </c>
      <c r="E76" s="26" t="s">
        <v>45</v>
      </c>
      <c r="F76" s="21"/>
      <c r="G76" s="46"/>
      <c r="H76" s="21"/>
      <c r="I76" s="22" t="s">
        <v>205</v>
      </c>
      <c r="J76" s="34">
        <f>'ใบผ่านรายการ  2'!E6</f>
        <v>148373.75</v>
      </c>
      <c r="K76" s="45">
        <f>619033+575401.5+168047.75+455332.99+145303+144803+188847.15+151244.5</f>
        <v>2448012.89</v>
      </c>
    </row>
    <row r="77" spans="1:16" s="11" customFormat="1" ht="16.5" customHeight="1">
      <c r="A77" s="25">
        <v>2624640</v>
      </c>
      <c r="B77" s="40"/>
      <c r="C77" s="18">
        <f aca="true" t="shared" si="5" ref="C77:C88">A77</f>
        <v>2624640</v>
      </c>
      <c r="D77" s="76">
        <f aca="true" t="shared" si="6" ref="D77:D112">J77+K77</f>
        <v>1968480</v>
      </c>
      <c r="E77" s="47" t="s">
        <v>186</v>
      </c>
      <c r="F77" s="37"/>
      <c r="G77" s="37"/>
      <c r="H77" s="37"/>
      <c r="I77" s="22" t="s">
        <v>259</v>
      </c>
      <c r="J77" s="34">
        <f>'ใบผ่านรายการ  2'!E8</f>
        <v>218720</v>
      </c>
      <c r="K77" s="49">
        <f>218720+218720+218720+218720+218720+218720+218720+218720</f>
        <v>1749760</v>
      </c>
      <c r="L77" s="38"/>
      <c r="M77" s="12"/>
      <c r="N77" s="12"/>
      <c r="O77" s="12"/>
      <c r="P77" s="12"/>
    </row>
    <row r="78" spans="1:16" s="11" customFormat="1" ht="16.5" customHeight="1">
      <c r="A78" s="25">
        <v>14836170</v>
      </c>
      <c r="B78" s="40"/>
      <c r="C78" s="18">
        <f t="shared" si="5"/>
        <v>14836170</v>
      </c>
      <c r="D78" s="76">
        <f t="shared" si="6"/>
        <v>8808944.35</v>
      </c>
      <c r="E78" s="47" t="s">
        <v>187</v>
      </c>
      <c r="F78" s="37"/>
      <c r="G78" s="37"/>
      <c r="H78" s="37"/>
      <c r="I78" s="22" t="s">
        <v>259</v>
      </c>
      <c r="J78" s="34">
        <f>'ใบผ่านรายการ  2'!E9</f>
        <v>948505</v>
      </c>
      <c r="K78" s="49">
        <f>999096.6+1002592.75+989706+982600+981600+977180+979159+948505</f>
        <v>7860439.35</v>
      </c>
      <c r="L78" s="38"/>
      <c r="M78" s="12"/>
      <c r="N78" s="12"/>
      <c r="O78" s="12"/>
      <c r="P78" s="12"/>
    </row>
    <row r="79" spans="1:16" s="11" customFormat="1" ht="16.5" customHeight="1">
      <c r="A79" s="25">
        <v>931260</v>
      </c>
      <c r="B79" s="40"/>
      <c r="C79" s="18">
        <f t="shared" si="5"/>
        <v>931260</v>
      </c>
      <c r="D79" s="76">
        <f t="shared" si="6"/>
        <v>678240</v>
      </c>
      <c r="E79" s="47" t="s">
        <v>188</v>
      </c>
      <c r="F79" s="37"/>
      <c r="G79" s="37"/>
      <c r="H79" s="37"/>
      <c r="I79" s="22" t="s">
        <v>259</v>
      </c>
      <c r="J79" s="34">
        <f>'ใบผ่านรายการ  2'!E10</f>
        <v>76480</v>
      </c>
      <c r="K79" s="49">
        <f>74800+74800+74800+74800+74800+74800+76480+76480</f>
        <v>601760</v>
      </c>
      <c r="L79" s="38">
        <f>SUM(J78:J80)</f>
        <v>1349390</v>
      </c>
      <c r="M79" s="12"/>
      <c r="N79" s="12"/>
      <c r="O79" s="12"/>
      <c r="P79" s="12"/>
    </row>
    <row r="80" spans="1:16" s="11" customFormat="1" ht="16.5" customHeight="1">
      <c r="A80" s="50">
        <v>4610520</v>
      </c>
      <c r="B80" s="48"/>
      <c r="C80" s="18">
        <f t="shared" si="5"/>
        <v>4610520</v>
      </c>
      <c r="D80" s="76">
        <f t="shared" si="6"/>
        <v>3109645</v>
      </c>
      <c r="E80" s="47" t="s">
        <v>189</v>
      </c>
      <c r="F80" s="37"/>
      <c r="G80" s="37"/>
      <c r="H80" s="37"/>
      <c r="I80" s="22" t="s">
        <v>259</v>
      </c>
      <c r="J80" s="34">
        <f>'ใบผ่านรายการ  2'!E11</f>
        <v>324405</v>
      </c>
      <c r="K80" s="49">
        <f>213285+213285+636645+354405+354405+344405+334405+334405</f>
        <v>2785240</v>
      </c>
      <c r="L80" s="38"/>
      <c r="M80" s="12"/>
      <c r="N80" s="12"/>
      <c r="O80" s="12"/>
      <c r="P80" s="12"/>
    </row>
    <row r="81" spans="1:11" ht="16.5" customHeight="1">
      <c r="A81" s="25">
        <v>715400</v>
      </c>
      <c r="B81" s="18"/>
      <c r="C81" s="18">
        <f t="shared" si="5"/>
        <v>715400</v>
      </c>
      <c r="D81" s="76">
        <f t="shared" si="6"/>
        <v>342000</v>
      </c>
      <c r="E81" s="47" t="s">
        <v>0</v>
      </c>
      <c r="F81" s="37"/>
      <c r="G81" s="37"/>
      <c r="H81" s="37"/>
      <c r="I81" s="22" t="s">
        <v>199</v>
      </c>
      <c r="J81" s="34">
        <f>'ใบผ่านรายการ  2'!E12</f>
        <v>26950</v>
      </c>
      <c r="K81" s="49">
        <f>20450+53450+45250+36100+53550+38050+29950+38250</f>
        <v>315050</v>
      </c>
    </row>
    <row r="82" spans="1:13" ht="16.5" customHeight="1">
      <c r="A82" s="25">
        <v>9242400</v>
      </c>
      <c r="B82" s="18"/>
      <c r="C82" s="18">
        <f t="shared" si="5"/>
        <v>9242400</v>
      </c>
      <c r="D82" s="76">
        <f t="shared" si="6"/>
        <v>4627797.63</v>
      </c>
      <c r="E82" s="47" t="s">
        <v>1</v>
      </c>
      <c r="F82" s="37"/>
      <c r="G82" s="37"/>
      <c r="H82" s="37"/>
      <c r="I82" s="22" t="s">
        <v>193</v>
      </c>
      <c r="J82" s="34">
        <f>'ใบผ่านรายการ  2'!E14</f>
        <v>406160.28</v>
      </c>
      <c r="K82" s="49">
        <f>100+1001063.42+253744.91+1121820.75+139998.06+180560.15+185713.73+1338636.33</f>
        <v>4221637.35</v>
      </c>
      <c r="L82" s="412">
        <f>SUM(J76:J88)</f>
        <v>2439925.3800000004</v>
      </c>
      <c r="M82" s="412">
        <f>L82+L83</f>
        <v>25793959.62</v>
      </c>
    </row>
    <row r="83" spans="1:12" ht="16.5" customHeight="1">
      <c r="A83" s="25">
        <v>2979000</v>
      </c>
      <c r="B83" s="18"/>
      <c r="C83" s="18">
        <f>A83</f>
        <v>2979000</v>
      </c>
      <c r="D83" s="76">
        <f t="shared" si="6"/>
        <v>1420479.2200000002</v>
      </c>
      <c r="E83" s="47" t="s">
        <v>2</v>
      </c>
      <c r="F83" s="37"/>
      <c r="G83" s="37"/>
      <c r="H83" s="37"/>
      <c r="I83" s="22" t="s">
        <v>261</v>
      </c>
      <c r="J83" s="34">
        <f>'ใบผ่านรายการ  2'!E15</f>
        <v>50371.62</v>
      </c>
      <c r="K83" s="49">
        <f>89619.75+67848.35+77917.1+138808.65+421442.9+94927.3+479543.55</f>
        <v>1370107.6</v>
      </c>
      <c r="L83" s="412">
        <f>SUM(K76:K88)</f>
        <v>23354034.240000002</v>
      </c>
    </row>
    <row r="84" spans="1:13" ht="16.5" customHeight="1">
      <c r="A84" s="25">
        <v>630000</v>
      </c>
      <c r="B84" s="18"/>
      <c r="C84" s="18">
        <f t="shared" si="5"/>
        <v>630000</v>
      </c>
      <c r="D84" s="76">
        <f t="shared" si="6"/>
        <v>279348.85</v>
      </c>
      <c r="E84" s="47" t="s">
        <v>3</v>
      </c>
      <c r="F84" s="37"/>
      <c r="G84" s="37"/>
      <c r="H84" s="37"/>
      <c r="I84" s="22" t="s">
        <v>260</v>
      </c>
      <c r="J84" s="34">
        <f>'ใบผ่านรายการ  2'!E16</f>
        <v>36459.73</v>
      </c>
      <c r="K84" s="49">
        <f>1750.31+47363.15+35827.58+32737.72+32121.11+23920.45+34848.74+34320.06</f>
        <v>242889.12</v>
      </c>
      <c r="L84" s="412"/>
      <c r="M84" s="412">
        <f>D78+D79+D80</f>
        <v>12596829.35</v>
      </c>
    </row>
    <row r="85" spans="1:11" ht="16.5" customHeight="1">
      <c r="A85" s="25">
        <v>267600</v>
      </c>
      <c r="B85" s="18"/>
      <c r="C85" s="18">
        <f t="shared" si="5"/>
        <v>267600</v>
      </c>
      <c r="D85" s="76">
        <f t="shared" si="6"/>
        <v>385059</v>
      </c>
      <c r="E85" s="47" t="s">
        <v>80</v>
      </c>
      <c r="F85" s="37"/>
      <c r="G85" s="37"/>
      <c r="H85" s="37"/>
      <c r="I85" s="22" t="s">
        <v>201</v>
      </c>
      <c r="J85" s="34">
        <f>กระดาษทำการ!I27</f>
        <v>3500</v>
      </c>
      <c r="K85" s="49">
        <f>97100+135393+103374+33500+12192</f>
        <v>381559</v>
      </c>
    </row>
    <row r="86" spans="1:11" ht="16.5" customHeight="1">
      <c r="A86" s="25">
        <v>1531000</v>
      </c>
      <c r="B86" s="18"/>
      <c r="C86" s="18">
        <f t="shared" si="5"/>
        <v>1531000</v>
      </c>
      <c r="D86" s="76">
        <f t="shared" si="6"/>
        <v>491000</v>
      </c>
      <c r="E86" s="47" t="s">
        <v>5</v>
      </c>
      <c r="F86" s="37"/>
      <c r="G86" s="37"/>
      <c r="H86" s="37"/>
      <c r="I86" s="22" t="s">
        <v>202</v>
      </c>
      <c r="J86" s="34">
        <f>กระดาษทำการ!I28</f>
        <v>0</v>
      </c>
      <c r="K86" s="49">
        <f>231000+160000+100000</f>
        <v>491000</v>
      </c>
    </row>
    <row r="87" spans="1:11" ht="16.5" customHeight="1">
      <c r="A87" s="50">
        <v>20000</v>
      </c>
      <c r="B87" s="32"/>
      <c r="C87" s="18">
        <f t="shared" si="5"/>
        <v>20000</v>
      </c>
      <c r="D87" s="76">
        <f t="shared" si="6"/>
        <v>0</v>
      </c>
      <c r="E87" s="47" t="s">
        <v>68</v>
      </c>
      <c r="F87" s="37"/>
      <c r="G87" s="37"/>
      <c r="H87" s="37"/>
      <c r="I87" s="22" t="s">
        <v>203</v>
      </c>
      <c r="J87" s="34">
        <f>กระดาษทำการ!K31</f>
        <v>0</v>
      </c>
      <c r="K87" s="49">
        <v>0</v>
      </c>
    </row>
    <row r="88" spans="1:11" ht="16.5" customHeight="1">
      <c r="A88" s="25">
        <v>2095000</v>
      </c>
      <c r="B88" s="18"/>
      <c r="C88" s="18">
        <f t="shared" si="5"/>
        <v>2095000</v>
      </c>
      <c r="D88" s="76">
        <f t="shared" si="6"/>
        <v>1086578.93</v>
      </c>
      <c r="E88" s="47" t="s">
        <v>4</v>
      </c>
      <c r="F88" s="37"/>
      <c r="G88" s="37"/>
      <c r="H88" s="37"/>
      <c r="I88" s="22" t="s">
        <v>200</v>
      </c>
      <c r="J88" s="34">
        <f>'ใบผ่านรายการ  2'!E17</f>
        <v>200000</v>
      </c>
      <c r="K88" s="49">
        <f>398000+100578.93+200000+188000</f>
        <v>886578.9299999999</v>
      </c>
    </row>
    <row r="89" spans="1:13" ht="16.5" customHeight="1">
      <c r="A89" s="25"/>
      <c r="B89" s="18"/>
      <c r="C89" s="18">
        <f aca="true" t="shared" si="7" ref="C89:C110">D89</f>
        <v>0</v>
      </c>
      <c r="D89" s="76">
        <f t="shared" si="6"/>
        <v>0</v>
      </c>
      <c r="E89" s="821" t="s">
        <v>6</v>
      </c>
      <c r="F89" s="822"/>
      <c r="G89" s="822"/>
      <c r="H89" s="822"/>
      <c r="I89" s="22" t="s">
        <v>191</v>
      </c>
      <c r="J89" s="34">
        <v>0</v>
      </c>
      <c r="K89" s="49">
        <v>0</v>
      </c>
      <c r="M89" s="412">
        <f>D81+D102</f>
        <v>496500</v>
      </c>
    </row>
    <row r="90" spans="1:11" ht="16.5" customHeight="1">
      <c r="A90" s="25"/>
      <c r="B90" s="40"/>
      <c r="C90" s="18"/>
      <c r="D90" s="76">
        <f t="shared" si="6"/>
        <v>0</v>
      </c>
      <c r="E90" s="137" t="s">
        <v>374</v>
      </c>
      <c r="F90" s="137"/>
      <c r="G90" s="137"/>
      <c r="H90" s="137"/>
      <c r="I90" s="44" t="s">
        <v>258</v>
      </c>
      <c r="J90" s="34">
        <f>'ใบผ่านรายการ  2'!E31</f>
        <v>0</v>
      </c>
      <c r="K90" s="49">
        <v>0</v>
      </c>
    </row>
    <row r="91" spans="1:11" ht="16.5" customHeight="1">
      <c r="A91" s="25"/>
      <c r="B91" s="40"/>
      <c r="C91" s="18"/>
      <c r="D91" s="76">
        <f t="shared" si="6"/>
        <v>4088794.62</v>
      </c>
      <c r="E91" s="37" t="s">
        <v>55</v>
      </c>
      <c r="F91" s="37"/>
      <c r="H91" s="37"/>
      <c r="I91" s="44" t="s">
        <v>247</v>
      </c>
      <c r="J91" s="76">
        <f>'ใบผ่านรายการ  2'!E24</f>
        <v>617900</v>
      </c>
      <c r="K91" s="49">
        <f>465600+466200+584100+497094.62+469900+492500+495500</f>
        <v>3470894.62</v>
      </c>
    </row>
    <row r="92" spans="1:11" ht="16.5" customHeight="1">
      <c r="A92" s="25"/>
      <c r="B92" s="40"/>
      <c r="C92" s="18"/>
      <c r="D92" s="76">
        <f t="shared" si="6"/>
        <v>0</v>
      </c>
      <c r="E92" s="37" t="s">
        <v>36</v>
      </c>
      <c r="F92" s="37"/>
      <c r="G92" s="37"/>
      <c r="H92" s="37"/>
      <c r="I92" s="44" t="s">
        <v>256</v>
      </c>
      <c r="J92" s="76">
        <f>'ใบผ่านรายการ  2'!E25</f>
        <v>0</v>
      </c>
      <c r="K92" s="49">
        <v>0</v>
      </c>
    </row>
    <row r="93" spans="1:11" ht="16.5" customHeight="1">
      <c r="A93" s="25"/>
      <c r="B93" s="40"/>
      <c r="C93" s="18"/>
      <c r="D93" s="76">
        <f t="shared" si="6"/>
        <v>0</v>
      </c>
      <c r="E93" s="821" t="s">
        <v>330</v>
      </c>
      <c r="F93" s="822"/>
      <c r="G93" s="822"/>
      <c r="H93" s="823"/>
      <c r="I93" s="44" t="s">
        <v>332</v>
      </c>
      <c r="J93" s="76">
        <f>'ใบผ่านรายการ  2'!E26</f>
        <v>0</v>
      </c>
      <c r="K93" s="49">
        <v>0</v>
      </c>
    </row>
    <row r="94" spans="1:12" ht="16.5" customHeight="1">
      <c r="A94" s="25"/>
      <c r="B94" s="40"/>
      <c r="C94" s="18"/>
      <c r="D94" s="76">
        <f t="shared" si="6"/>
        <v>1218298.39</v>
      </c>
      <c r="E94" s="37" t="s">
        <v>81</v>
      </c>
      <c r="F94" s="37"/>
      <c r="G94" s="37"/>
      <c r="H94" s="37"/>
      <c r="I94" s="44" t="s">
        <v>262</v>
      </c>
      <c r="J94" s="76">
        <f>'ใบผ่านรายการ  2'!E28</f>
        <v>0</v>
      </c>
      <c r="K94" s="49">
        <f>528103.24+500000+32700+8000+119995.15+29500</f>
        <v>1218298.39</v>
      </c>
      <c r="L94" s="412"/>
    </row>
    <row r="95" spans="1:11" ht="16.5" customHeight="1">
      <c r="A95" s="25"/>
      <c r="B95" s="40"/>
      <c r="C95" s="18"/>
      <c r="D95" s="76">
        <f t="shared" si="6"/>
        <v>1238000.6</v>
      </c>
      <c r="E95" s="37" t="s">
        <v>7</v>
      </c>
      <c r="F95" s="37"/>
      <c r="G95" s="37"/>
      <c r="H95" s="37"/>
      <c r="I95" s="44" t="s">
        <v>192</v>
      </c>
      <c r="J95" s="76">
        <f>'ใบผ่านรายการ  2'!E30</f>
        <v>0</v>
      </c>
      <c r="K95" s="49">
        <f>790092.6+3960+440000+3948</f>
        <v>1238000.6</v>
      </c>
    </row>
    <row r="96" spans="1:11" ht="16.5" customHeight="1">
      <c r="A96" s="25"/>
      <c r="B96" s="40"/>
      <c r="C96" s="18"/>
      <c r="D96" s="76">
        <f t="shared" si="6"/>
        <v>85313.1</v>
      </c>
      <c r="E96" s="37" t="s">
        <v>91</v>
      </c>
      <c r="F96" s="37"/>
      <c r="G96" s="37"/>
      <c r="H96" s="37"/>
      <c r="I96" s="44" t="s">
        <v>204</v>
      </c>
      <c r="J96" s="76">
        <f>'ใบผ่านรายการ  2'!E44</f>
        <v>0</v>
      </c>
      <c r="K96" s="49">
        <v>85313.1</v>
      </c>
    </row>
    <row r="97" spans="1:11" ht="16.5" customHeight="1">
      <c r="A97" s="25"/>
      <c r="B97" s="40"/>
      <c r="C97" s="18"/>
      <c r="D97" s="76">
        <f t="shared" si="6"/>
        <v>530631.25</v>
      </c>
      <c r="E97" s="37" t="s">
        <v>16</v>
      </c>
      <c r="F97" s="37"/>
      <c r="G97" s="37"/>
      <c r="H97" s="37"/>
      <c r="I97" s="22" t="s">
        <v>263</v>
      </c>
      <c r="J97" s="76">
        <f>'ใบผ่านรายการ  2'!G46</f>
        <v>64164.64</v>
      </c>
      <c r="K97" s="49">
        <f>25764.4+67674.4+31579.91+31216.57+177408.84+73259.98+23980.02+35582.49</f>
        <v>466466.61</v>
      </c>
    </row>
    <row r="98" spans="1:11" ht="16.5" customHeight="1">
      <c r="A98" s="25"/>
      <c r="B98" s="40"/>
      <c r="C98" s="18">
        <f t="shared" si="7"/>
        <v>0</v>
      </c>
      <c r="D98" s="76">
        <f t="shared" si="6"/>
        <v>0</v>
      </c>
      <c r="E98" s="47" t="s">
        <v>117</v>
      </c>
      <c r="F98" s="51"/>
      <c r="G98" s="51"/>
      <c r="H98" s="51"/>
      <c r="I98" s="52"/>
      <c r="J98" s="34">
        <v>0</v>
      </c>
      <c r="K98" s="49">
        <v>0</v>
      </c>
    </row>
    <row r="99" spans="1:11" ht="16.5" customHeight="1">
      <c r="A99" s="25"/>
      <c r="B99" s="40">
        <f>C99</f>
        <v>0</v>
      </c>
      <c r="C99" s="18">
        <f t="shared" si="7"/>
        <v>0</v>
      </c>
      <c r="D99" s="76">
        <f t="shared" si="6"/>
        <v>0</v>
      </c>
      <c r="E99" s="815" t="s">
        <v>220</v>
      </c>
      <c r="F99" s="795"/>
      <c r="G99" s="795"/>
      <c r="H99" s="795"/>
      <c r="I99" s="81" t="s">
        <v>278</v>
      </c>
      <c r="J99" s="34"/>
      <c r="K99" s="49">
        <v>0</v>
      </c>
    </row>
    <row r="100" spans="1:11" ht="16.5" customHeight="1">
      <c r="A100" s="25"/>
      <c r="B100" s="40">
        <f aca="true" t="shared" si="8" ref="B100:B110">C100</f>
        <v>71669.25</v>
      </c>
      <c r="C100" s="18">
        <f t="shared" si="7"/>
        <v>71669.25</v>
      </c>
      <c r="D100" s="76">
        <f t="shared" si="6"/>
        <v>71669.25</v>
      </c>
      <c r="E100" s="815" t="s">
        <v>214</v>
      </c>
      <c r="F100" s="795"/>
      <c r="G100" s="795"/>
      <c r="H100" s="795"/>
      <c r="I100" s="81" t="s">
        <v>279</v>
      </c>
      <c r="J100" s="34">
        <f>'ใบผ่านรายการ  2'!E7</f>
        <v>7963.25</v>
      </c>
      <c r="K100" s="49">
        <f>15926.5+7963.25+23889.75+15926.5</f>
        <v>63706</v>
      </c>
    </row>
    <row r="101" spans="1:11" ht="24" customHeight="1" hidden="1">
      <c r="A101" s="25"/>
      <c r="B101" s="40">
        <f t="shared" si="8"/>
        <v>0</v>
      </c>
      <c r="C101" s="18">
        <f t="shared" si="7"/>
        <v>0</v>
      </c>
      <c r="D101" s="76">
        <f t="shared" si="6"/>
        <v>0</v>
      </c>
      <c r="E101" s="815" t="s">
        <v>280</v>
      </c>
      <c r="F101" s="795"/>
      <c r="G101" s="795"/>
      <c r="H101" s="795"/>
      <c r="I101" s="81" t="s">
        <v>281</v>
      </c>
      <c r="J101" s="34">
        <v>0</v>
      </c>
      <c r="K101" s="49">
        <v>0</v>
      </c>
    </row>
    <row r="102" spans="1:11" ht="16.5" customHeight="1">
      <c r="A102" s="25"/>
      <c r="B102" s="40">
        <f>C102</f>
        <v>154500</v>
      </c>
      <c r="C102" s="18">
        <f>D102</f>
        <v>154500</v>
      </c>
      <c r="D102" s="76">
        <f>J102+K102</f>
        <v>154500</v>
      </c>
      <c r="E102" s="815" t="s">
        <v>620</v>
      </c>
      <c r="F102" s="795"/>
      <c r="G102" s="795"/>
      <c r="H102" s="795"/>
      <c r="I102" s="81" t="s">
        <v>279</v>
      </c>
      <c r="J102" s="34">
        <v>14500</v>
      </c>
      <c r="K102" s="49">
        <f>35000+17500+17500+17500+17500+17500+17500</f>
        <v>140000</v>
      </c>
    </row>
    <row r="103" spans="1:11" ht="16.5" customHeight="1">
      <c r="A103" s="25"/>
      <c r="B103" s="40">
        <f t="shared" si="8"/>
        <v>0</v>
      </c>
      <c r="C103" s="18">
        <f t="shared" si="7"/>
        <v>0</v>
      </c>
      <c r="D103" s="76">
        <f t="shared" si="6"/>
        <v>0</v>
      </c>
      <c r="E103" s="815" t="s">
        <v>333</v>
      </c>
      <c r="F103" s="795"/>
      <c r="G103" s="795"/>
      <c r="H103" s="795"/>
      <c r="I103" s="81" t="s">
        <v>281</v>
      </c>
      <c r="J103" s="34">
        <v>0</v>
      </c>
      <c r="K103" s="49">
        <v>0</v>
      </c>
    </row>
    <row r="104" spans="1:13" ht="16.5" customHeight="1">
      <c r="A104" s="25"/>
      <c r="B104" s="40">
        <f t="shared" si="8"/>
        <v>0</v>
      </c>
      <c r="C104" s="18">
        <f t="shared" si="7"/>
        <v>0</v>
      </c>
      <c r="D104" s="76">
        <f t="shared" si="6"/>
        <v>0</v>
      </c>
      <c r="E104" s="815" t="s">
        <v>219</v>
      </c>
      <c r="F104" s="795"/>
      <c r="G104" s="795"/>
      <c r="H104" s="795"/>
      <c r="I104" s="81" t="s">
        <v>281</v>
      </c>
      <c r="J104" s="34">
        <v>0</v>
      </c>
      <c r="K104" s="49">
        <v>0</v>
      </c>
      <c r="L104" s="412">
        <f>SUM(J99:J108)</f>
        <v>24333.25</v>
      </c>
      <c r="M104" s="412">
        <f>SUM(K99:K107)</f>
        <v>207906</v>
      </c>
    </row>
    <row r="105" spans="1:13" ht="16.5" customHeight="1">
      <c r="A105" s="25"/>
      <c r="B105" s="40">
        <f t="shared" si="8"/>
        <v>6070</v>
      </c>
      <c r="C105" s="18">
        <f t="shared" si="7"/>
        <v>6070</v>
      </c>
      <c r="D105" s="76">
        <f t="shared" si="6"/>
        <v>6070</v>
      </c>
      <c r="E105" s="815" t="s">
        <v>308</v>
      </c>
      <c r="F105" s="795"/>
      <c r="G105" s="795"/>
      <c r="H105" s="795"/>
      <c r="I105" s="81" t="s">
        <v>281</v>
      </c>
      <c r="J105" s="34">
        <v>1870</v>
      </c>
      <c r="K105" s="49">
        <f>3300+900</f>
        <v>4200</v>
      </c>
      <c r="M105" s="412"/>
    </row>
    <row r="106" spans="1:13" ht="16.5" customHeight="1" hidden="1">
      <c r="A106" s="25"/>
      <c r="B106" s="40">
        <f t="shared" si="8"/>
        <v>0</v>
      </c>
      <c r="C106" s="18">
        <f t="shared" si="7"/>
        <v>0</v>
      </c>
      <c r="D106" s="76">
        <f t="shared" si="6"/>
        <v>0</v>
      </c>
      <c r="E106" s="824" t="s">
        <v>322</v>
      </c>
      <c r="F106" s="825"/>
      <c r="G106" s="825"/>
      <c r="H106" s="826"/>
      <c r="I106" s="81" t="s">
        <v>282</v>
      </c>
      <c r="J106" s="34"/>
      <c r="K106" s="49">
        <v>0</v>
      </c>
      <c r="M106" s="412"/>
    </row>
    <row r="107" spans="1:13" ht="16.5" customHeight="1" hidden="1">
      <c r="A107" s="25"/>
      <c r="B107" s="40">
        <f t="shared" si="8"/>
        <v>0</v>
      </c>
      <c r="C107" s="18">
        <f t="shared" si="7"/>
        <v>0</v>
      </c>
      <c r="D107" s="76">
        <f t="shared" si="6"/>
        <v>0</v>
      </c>
      <c r="E107" s="824" t="s">
        <v>387</v>
      </c>
      <c r="F107" s="825"/>
      <c r="G107" s="825"/>
      <c r="H107" s="826"/>
      <c r="I107" s="81" t="s">
        <v>281</v>
      </c>
      <c r="J107" s="34"/>
      <c r="K107" s="49">
        <v>0</v>
      </c>
      <c r="M107" s="412"/>
    </row>
    <row r="108" spans="1:11" ht="16.5" customHeight="1" hidden="1">
      <c r="A108" s="25"/>
      <c r="B108" s="40">
        <f t="shared" si="8"/>
        <v>0</v>
      </c>
      <c r="C108" s="18">
        <f t="shared" si="7"/>
        <v>0</v>
      </c>
      <c r="D108" s="76">
        <f t="shared" si="6"/>
        <v>0</v>
      </c>
      <c r="E108" s="824" t="s">
        <v>388</v>
      </c>
      <c r="F108" s="825"/>
      <c r="G108" s="825"/>
      <c r="H108" s="826"/>
      <c r="I108" s="81" t="s">
        <v>257</v>
      </c>
      <c r="J108" s="34"/>
      <c r="K108" s="49">
        <v>0</v>
      </c>
    </row>
    <row r="109" spans="1:11" ht="16.5" customHeight="1" hidden="1">
      <c r="A109" s="25"/>
      <c r="B109" s="40">
        <f t="shared" si="8"/>
        <v>0</v>
      </c>
      <c r="C109" s="18">
        <f t="shared" si="7"/>
        <v>0</v>
      </c>
      <c r="D109" s="76">
        <f t="shared" si="6"/>
        <v>0</v>
      </c>
      <c r="E109" s="824" t="s">
        <v>407</v>
      </c>
      <c r="F109" s="825"/>
      <c r="G109" s="825"/>
      <c r="H109" s="826"/>
      <c r="I109" s="81" t="s">
        <v>257</v>
      </c>
      <c r="J109" s="34"/>
      <c r="K109" s="49">
        <v>0</v>
      </c>
    </row>
    <row r="110" spans="1:11" ht="17.25" hidden="1">
      <c r="A110" s="25"/>
      <c r="B110" s="40">
        <f t="shared" si="8"/>
        <v>0</v>
      </c>
      <c r="C110" s="18">
        <f t="shared" si="7"/>
        <v>0</v>
      </c>
      <c r="D110" s="76">
        <f t="shared" si="6"/>
        <v>0</v>
      </c>
      <c r="E110" s="30" t="s">
        <v>368</v>
      </c>
      <c r="F110" s="30"/>
      <c r="G110" s="30"/>
      <c r="H110" s="30"/>
      <c r="I110" s="81" t="s">
        <v>257</v>
      </c>
      <c r="J110" s="34">
        <v>0</v>
      </c>
      <c r="K110" s="49">
        <v>0</v>
      </c>
    </row>
    <row r="111" spans="1:11" ht="17.25" hidden="1">
      <c r="A111" s="25"/>
      <c r="B111" s="40"/>
      <c r="C111" s="40"/>
      <c r="D111" s="76">
        <f t="shared" si="6"/>
        <v>0</v>
      </c>
      <c r="E111" s="126" t="s">
        <v>306</v>
      </c>
      <c r="F111" s="30"/>
      <c r="G111" s="30"/>
      <c r="H111" s="30"/>
      <c r="I111" s="81" t="s">
        <v>257</v>
      </c>
      <c r="J111" s="34">
        <v>0</v>
      </c>
      <c r="K111" s="31">
        <v>0</v>
      </c>
    </row>
    <row r="112" spans="1:11" ht="17.25" hidden="1">
      <c r="A112" s="25"/>
      <c r="B112" s="40"/>
      <c r="C112" s="40"/>
      <c r="D112" s="76">
        <f t="shared" si="6"/>
        <v>0</v>
      </c>
      <c r="E112" s="30" t="s">
        <v>307</v>
      </c>
      <c r="F112" s="30"/>
      <c r="G112" s="30"/>
      <c r="H112" s="30"/>
      <c r="I112" s="81" t="s">
        <v>257</v>
      </c>
      <c r="J112" s="34">
        <v>0</v>
      </c>
      <c r="K112" s="31">
        <v>0</v>
      </c>
    </row>
    <row r="113" spans="1:11" ht="17.25">
      <c r="A113" s="71">
        <f>SUM(A76:A110)</f>
        <v>50277093</v>
      </c>
      <c r="B113" s="71">
        <f>SUM(B76:B110)</f>
        <v>232239.25</v>
      </c>
      <c r="C113" s="71">
        <f>SUM(C76:C110)</f>
        <v>50509332.25</v>
      </c>
      <c r="D113" s="77">
        <f>SUM(D76:D112)</f>
        <v>33187236.830000006</v>
      </c>
      <c r="E113" s="66"/>
      <c r="F113" s="853" t="s">
        <v>69</v>
      </c>
      <c r="G113" s="853"/>
      <c r="H113" s="67"/>
      <c r="I113" s="131"/>
      <c r="J113" s="77">
        <f>SUM(J76:J112)</f>
        <v>3146323.2700000005</v>
      </c>
      <c r="K113" s="41">
        <f>SUM(K76:K112)</f>
        <v>30040913.560000006</v>
      </c>
    </row>
    <row r="114" spans="1:11" ht="16.5" customHeight="1" thickBot="1">
      <c r="A114" s="72"/>
      <c r="B114" s="73"/>
      <c r="C114" s="73"/>
      <c r="D114" s="68">
        <f>D67-D113</f>
        <v>4889065.139999993</v>
      </c>
      <c r="E114" s="62"/>
      <c r="F114" s="851" t="s">
        <v>274</v>
      </c>
      <c r="G114" s="851"/>
      <c r="H114" s="51"/>
      <c r="I114" s="63"/>
      <c r="J114" s="68">
        <f>J67-J113</f>
        <v>379519.06999999937</v>
      </c>
      <c r="K114" s="64">
        <f>SUM(K67-K113)</f>
        <v>4509546.069999989</v>
      </c>
    </row>
    <row r="115" spans="1:11" ht="16.5" customHeight="1" thickTop="1">
      <c r="A115" s="39"/>
      <c r="B115" s="38"/>
      <c r="C115" s="38" t="s">
        <v>34</v>
      </c>
      <c r="D115" s="18"/>
      <c r="E115" s="53" t="s">
        <v>88</v>
      </c>
      <c r="F115" s="51"/>
      <c r="G115" s="51"/>
      <c r="H115" s="51"/>
      <c r="I115" s="53" t="s">
        <v>67</v>
      </c>
      <c r="J115" s="18"/>
      <c r="K115" s="849"/>
    </row>
    <row r="116" spans="1:11" ht="16.5" customHeight="1">
      <c r="A116" s="11" t="s">
        <v>599</v>
      </c>
      <c r="B116" s="38"/>
      <c r="C116" s="38"/>
      <c r="D116" s="18"/>
      <c r="E116" s="78"/>
      <c r="F116" s="851" t="s">
        <v>275</v>
      </c>
      <c r="G116" s="851"/>
      <c r="H116" s="51"/>
      <c r="I116" s="63"/>
      <c r="J116" s="18"/>
      <c r="K116" s="850"/>
    </row>
    <row r="117" spans="1:11" ht="18" thickBot="1">
      <c r="A117" s="11" t="s">
        <v>600</v>
      </c>
      <c r="D117" s="42">
        <f>D9+D114</f>
        <v>36654491.99999999</v>
      </c>
      <c r="E117" s="78"/>
      <c r="F117" s="852" t="s">
        <v>277</v>
      </c>
      <c r="G117" s="852"/>
      <c r="H117" s="852"/>
      <c r="I117" s="63"/>
      <c r="J117" s="42">
        <f>J9+J114</f>
        <v>36654492</v>
      </c>
      <c r="K117" s="54"/>
    </row>
    <row r="118" spans="1:10" ht="18" hidden="1" thickTop="1">
      <c r="A118" s="39"/>
      <c r="B118" s="38"/>
      <c r="C118" s="38"/>
      <c r="D118" s="55">
        <f>J118</f>
        <v>36654492</v>
      </c>
      <c r="E118" s="53"/>
      <c r="F118" s="53"/>
      <c r="G118" s="53"/>
      <c r="H118" s="53"/>
      <c r="I118" s="53"/>
      <c r="J118" s="56">
        <f>'งบทดลอง '!E8</f>
        <v>36654492</v>
      </c>
    </row>
    <row r="119" spans="4:11" ht="17.25" hidden="1">
      <c r="D119" s="57">
        <f>D118-D117</f>
        <v>0</v>
      </c>
      <c r="G119" s="11" t="s">
        <v>155</v>
      </c>
      <c r="J119" s="58">
        <f>J118-J117</f>
        <v>0</v>
      </c>
      <c r="K119" s="4">
        <f>'งบทดลอง '!E8</f>
        <v>36654492</v>
      </c>
    </row>
    <row r="120" spans="7:11" ht="17.25" hidden="1">
      <c r="G120" s="12"/>
      <c r="J120" s="59">
        <f>J117-D117</f>
        <v>0</v>
      </c>
      <c r="K120" s="4">
        <f>J119+K119</f>
        <v>36654492</v>
      </c>
    </row>
    <row r="121" spans="7:10" ht="17.25" hidden="1">
      <c r="G121" s="12"/>
      <c r="J121" s="59"/>
    </row>
    <row r="122" spans="7:10" ht="17.25" hidden="1">
      <c r="G122" s="12"/>
      <c r="J122" s="59"/>
    </row>
    <row r="123" spans="7:10" ht="17.25" hidden="1">
      <c r="G123" s="12"/>
      <c r="J123" s="59"/>
    </row>
    <row r="124" spans="7:10" ht="17.25" hidden="1">
      <c r="G124" s="12"/>
      <c r="J124" s="59"/>
    </row>
    <row r="125" spans="7:10" ht="17.25" hidden="1">
      <c r="G125" s="12"/>
      <c r="J125" s="59"/>
    </row>
    <row r="126" spans="7:10" ht="17.25" hidden="1">
      <c r="G126" s="12"/>
      <c r="J126" s="59"/>
    </row>
    <row r="127" spans="7:10" ht="18" thickTop="1">
      <c r="G127" s="12"/>
      <c r="J127" s="59"/>
    </row>
    <row r="128" spans="1:10" ht="17.25">
      <c r="A128" s="814" t="s">
        <v>398</v>
      </c>
      <c r="B128" s="814"/>
      <c r="C128" s="814"/>
      <c r="D128" s="814" t="s">
        <v>754</v>
      </c>
      <c r="E128" s="814"/>
      <c r="F128" s="814"/>
      <c r="G128" s="827" t="s">
        <v>398</v>
      </c>
      <c r="H128" s="827"/>
      <c r="I128" s="827"/>
      <c r="J128" s="827"/>
    </row>
    <row r="129" spans="1:10" ht="15.75" customHeight="1">
      <c r="A129" s="814" t="s">
        <v>170</v>
      </c>
      <c r="B129" s="814"/>
      <c r="C129" s="814"/>
      <c r="D129" s="814" t="s">
        <v>755</v>
      </c>
      <c r="E129" s="814"/>
      <c r="F129" s="814"/>
      <c r="G129" s="827" t="s">
        <v>397</v>
      </c>
      <c r="H129" s="827"/>
      <c r="I129" s="827"/>
      <c r="J129" s="827"/>
    </row>
    <row r="130" spans="1:12" ht="17.25" customHeight="1">
      <c r="A130" s="11" t="s">
        <v>643</v>
      </c>
      <c r="B130" s="11"/>
      <c r="C130" s="11"/>
      <c r="D130" s="814" t="s">
        <v>756</v>
      </c>
      <c r="E130" s="814"/>
      <c r="F130" s="814"/>
      <c r="G130" s="827" t="s">
        <v>396</v>
      </c>
      <c r="H130" s="827"/>
      <c r="I130" s="827"/>
      <c r="J130" s="827"/>
      <c r="K130" s="528"/>
      <c r="L130" s="528"/>
    </row>
    <row r="131" spans="1:12" ht="17.25" customHeight="1">
      <c r="A131" s="814"/>
      <c r="B131" s="814"/>
      <c r="C131" s="814"/>
      <c r="D131" s="814"/>
      <c r="E131" s="814"/>
      <c r="F131" s="814"/>
      <c r="G131" s="814"/>
      <c r="H131" s="814"/>
      <c r="I131" s="814"/>
      <c r="J131" s="814"/>
      <c r="K131" s="528"/>
      <c r="L131" s="528"/>
    </row>
    <row r="132" spans="2:11" ht="20.25" customHeight="1">
      <c r="B132" s="11"/>
      <c r="C132" s="11"/>
      <c r="D132" s="11"/>
      <c r="F132" s="819"/>
      <c r="G132" s="819"/>
      <c r="H132" s="819"/>
      <c r="I132" s="814"/>
      <c r="J132" s="814"/>
      <c r="K132" s="5"/>
    </row>
    <row r="133" spans="1:11" ht="19.5" customHeight="1">
      <c r="A133" s="814"/>
      <c r="B133" s="814"/>
      <c r="C133" s="814"/>
      <c r="D133" s="814"/>
      <c r="F133" s="819"/>
      <c r="G133" s="819"/>
      <c r="H133" s="819"/>
      <c r="I133" s="819"/>
      <c r="J133" s="819"/>
      <c r="K133" s="6"/>
    </row>
    <row r="134" spans="9:11" ht="19.5" customHeight="1">
      <c r="I134" s="820"/>
      <c r="J134" s="820"/>
      <c r="K134" s="7"/>
    </row>
    <row r="135" ht="19.5" customHeight="1">
      <c r="K135" s="7"/>
    </row>
    <row r="136" spans="9:10" ht="17.25">
      <c r="I136" s="528"/>
      <c r="J136" s="528"/>
    </row>
    <row r="137" spans="9:10" ht="17.25">
      <c r="I137" s="528"/>
      <c r="J137" s="528"/>
    </row>
    <row r="138" spans="9:10" ht="17.25">
      <c r="I138" s="814"/>
      <c r="J138" s="814"/>
    </row>
    <row r="139" spans="10:11" ht="17.25">
      <c r="J139" s="4"/>
      <c r="K139" s="411"/>
    </row>
  </sheetData>
  <sheetProtection/>
  <mergeCells count="70">
    <mergeCell ref="E51:H51"/>
    <mergeCell ref="E52:H52"/>
    <mergeCell ref="K71:K74"/>
    <mergeCell ref="E25:H25"/>
    <mergeCell ref="E29:H29"/>
    <mergeCell ref="E30:H30"/>
    <mergeCell ref="E32:H32"/>
    <mergeCell ref="E31:H31"/>
    <mergeCell ref="E33:H33"/>
    <mergeCell ref="E71:H74"/>
    <mergeCell ref="E39:H39"/>
    <mergeCell ref="E38:H38"/>
    <mergeCell ref="E107:H107"/>
    <mergeCell ref="E103:H103"/>
    <mergeCell ref="E34:H34"/>
    <mergeCell ref="G128:J128"/>
    <mergeCell ref="E99:H99"/>
    <mergeCell ref="E105:H105"/>
    <mergeCell ref="E89:H89"/>
    <mergeCell ref="E100:H100"/>
    <mergeCell ref="A129:C129"/>
    <mergeCell ref="E108:H108"/>
    <mergeCell ref="E109:H109"/>
    <mergeCell ref="E48:H48"/>
    <mergeCell ref="E49:H49"/>
    <mergeCell ref="I132:J132"/>
    <mergeCell ref="F117:H117"/>
    <mergeCell ref="F113:G113"/>
    <mergeCell ref="F114:G114"/>
    <mergeCell ref="E102:H102"/>
    <mergeCell ref="A133:D133"/>
    <mergeCell ref="F133:H133"/>
    <mergeCell ref="I133:J133"/>
    <mergeCell ref="G131:J131"/>
    <mergeCell ref="A128:C128"/>
    <mergeCell ref="K115:K116"/>
    <mergeCell ref="F116:G116"/>
    <mergeCell ref="G129:J129"/>
    <mergeCell ref="A131:C131"/>
    <mergeCell ref="D130:F130"/>
    <mergeCell ref="A3:J3"/>
    <mergeCell ref="I71:I74"/>
    <mergeCell ref="E35:H35"/>
    <mergeCell ref="E36:H36"/>
    <mergeCell ref="E37:H37"/>
    <mergeCell ref="A1:J1"/>
    <mergeCell ref="A5:D5"/>
    <mergeCell ref="E5:H8"/>
    <mergeCell ref="A2:J2"/>
    <mergeCell ref="A4:J4"/>
    <mergeCell ref="D131:F131"/>
    <mergeCell ref="G130:J130"/>
    <mergeCell ref="A71:D71"/>
    <mergeCell ref="E45:H45"/>
    <mergeCell ref="I5:I8"/>
    <mergeCell ref="E46:H46"/>
    <mergeCell ref="E47:H47"/>
    <mergeCell ref="E40:H40"/>
    <mergeCell ref="E67:H67"/>
    <mergeCell ref="A70:J70"/>
    <mergeCell ref="D128:F128"/>
    <mergeCell ref="E104:H104"/>
    <mergeCell ref="E101:H101"/>
    <mergeCell ref="E50:H50"/>
    <mergeCell ref="I138:J138"/>
    <mergeCell ref="F132:H132"/>
    <mergeCell ref="I134:J134"/>
    <mergeCell ref="E93:H93"/>
    <mergeCell ref="E106:H106"/>
    <mergeCell ref="D129:F129"/>
  </mergeCells>
  <printOptions/>
  <pageMargins left="0.35433070866141736" right="0.35433070866141736" top="0.2755905511811024" bottom="0.15748031496062992" header="0.2755905511811024" footer="0.1574803149606299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46">
      <selection activeCell="C49" sqref="C49"/>
    </sheetView>
  </sheetViews>
  <sheetFormatPr defaultColWidth="9.140625" defaultRowHeight="21.75"/>
  <cols>
    <col min="1" max="1" width="9.57421875" style="434" customWidth="1"/>
    <col min="2" max="2" width="46.7109375" style="434" customWidth="1"/>
    <col min="3" max="4" width="20.57421875" style="434" customWidth="1"/>
    <col min="5" max="5" width="18.28125" style="414" customWidth="1"/>
    <col min="6" max="16384" width="9.140625" style="415" customWidth="1"/>
  </cols>
  <sheetData>
    <row r="1" spans="1:4" ht="19.5" customHeight="1">
      <c r="A1" s="754" t="s">
        <v>15</v>
      </c>
      <c r="B1" s="754"/>
      <c r="C1" s="754"/>
      <c r="D1" s="754"/>
    </row>
    <row r="2" spans="1:4" ht="19.5" customHeight="1">
      <c r="A2" s="754" t="s">
        <v>56</v>
      </c>
      <c r="B2" s="754"/>
      <c r="C2" s="754"/>
      <c r="D2" s="754"/>
    </row>
    <row r="3" spans="1:5" ht="19.5" customHeight="1">
      <c r="A3" s="813" t="s">
        <v>750</v>
      </c>
      <c r="B3" s="813"/>
      <c r="C3" s="813"/>
      <c r="D3" s="813"/>
      <c r="E3" s="416"/>
    </row>
    <row r="4" spans="1:5" ht="19.5" customHeight="1">
      <c r="A4" s="417"/>
      <c r="B4" s="418" t="s">
        <v>52</v>
      </c>
      <c r="C4" s="419" t="s">
        <v>27</v>
      </c>
      <c r="D4" s="419" t="s">
        <v>57</v>
      </c>
      <c r="E4" s="420" t="s">
        <v>181</v>
      </c>
    </row>
    <row r="5" spans="1:5" ht="19.5" customHeight="1">
      <c r="A5" s="421" t="s">
        <v>88</v>
      </c>
      <c r="B5" s="1"/>
      <c r="C5" s="405"/>
      <c r="D5" s="693"/>
      <c r="E5" s="690"/>
    </row>
    <row r="6" spans="1:5" ht="19.5" customHeight="1">
      <c r="A6" s="422"/>
      <c r="B6" s="1" t="s">
        <v>58</v>
      </c>
      <c r="C6" s="423">
        <f>ใบผ่านรายการ3!E6</f>
        <v>3463171.18</v>
      </c>
      <c r="D6" s="694">
        <f>E6+C6</f>
        <v>22986300.549999997</v>
      </c>
      <c r="E6" s="691">
        <f>38097.5+3107262.02+1878758.3+1424092.37+630705.88+3290324.51+6681397.93+2472490.86</f>
        <v>19523129.369999997</v>
      </c>
    </row>
    <row r="7" spans="1:5" ht="19.5" customHeight="1">
      <c r="A7" s="422"/>
      <c r="B7" s="1" t="s">
        <v>59</v>
      </c>
      <c r="C7" s="423">
        <f>'รับ-จ่าย  (2)'!J57</f>
        <v>62671.159999999996</v>
      </c>
      <c r="D7" s="694">
        <f aca="true" t="shared" si="0" ref="D7:D31">E7+C7</f>
        <v>739262.88</v>
      </c>
      <c r="E7" s="691">
        <f>33090.4+119115.91+184749.75+34234.73+25449.93+197545.75+25449.93+21407.47+35547.85</f>
        <v>676591.72</v>
      </c>
    </row>
    <row r="8" spans="1:5" ht="19.5" customHeight="1">
      <c r="A8" s="422"/>
      <c r="B8" s="1" t="s">
        <v>104</v>
      </c>
      <c r="C8" s="423">
        <v>0</v>
      </c>
      <c r="D8" s="694">
        <f t="shared" si="0"/>
        <v>96000</v>
      </c>
      <c r="E8" s="691">
        <v>96000</v>
      </c>
    </row>
    <row r="9" spans="1:5" ht="19.5" customHeight="1">
      <c r="A9" s="422"/>
      <c r="B9" s="1" t="s">
        <v>249</v>
      </c>
      <c r="C9" s="423">
        <f>'รับ-จ่าย  (2)'!J20</f>
        <v>0</v>
      </c>
      <c r="D9" s="694">
        <f t="shared" si="0"/>
        <v>0</v>
      </c>
      <c r="E9" s="691">
        <v>0</v>
      </c>
    </row>
    <row r="10" spans="1:5" ht="19.5" customHeight="1">
      <c r="A10" s="422"/>
      <c r="B10" s="1" t="s">
        <v>324</v>
      </c>
      <c r="C10" s="423">
        <f>'รับ-จ่าย  (2)'!J21</f>
        <v>0</v>
      </c>
      <c r="D10" s="694">
        <f t="shared" si="0"/>
        <v>0</v>
      </c>
      <c r="E10" s="691">
        <v>0</v>
      </c>
    </row>
    <row r="11" spans="1:5" ht="19.5" customHeight="1">
      <c r="A11" s="422"/>
      <c r="B11" s="1" t="s">
        <v>223</v>
      </c>
      <c r="C11" s="423">
        <v>0</v>
      </c>
      <c r="D11" s="694">
        <f t="shared" si="0"/>
        <v>14502075.75</v>
      </c>
      <c r="E11" s="691">
        <f>7887731+93889.75+6415455+52500+52500</f>
        <v>14502075.75</v>
      </c>
    </row>
    <row r="12" spans="1:5" ht="19.5" customHeight="1">
      <c r="A12" s="422"/>
      <c r="B12" s="1" t="s">
        <v>112</v>
      </c>
      <c r="C12" s="423"/>
      <c r="D12" s="694">
        <f t="shared" si="0"/>
        <v>0</v>
      </c>
      <c r="E12" s="691">
        <v>0</v>
      </c>
    </row>
    <row r="13" spans="1:5" ht="19.5" customHeight="1">
      <c r="A13" s="422"/>
      <c r="B13" s="1" t="s">
        <v>60</v>
      </c>
      <c r="C13" s="423">
        <v>0</v>
      </c>
      <c r="D13" s="694">
        <v>0</v>
      </c>
      <c r="E13" s="691">
        <v>15222</v>
      </c>
    </row>
    <row r="14" spans="1:5" ht="19.5" customHeight="1">
      <c r="A14" s="422"/>
      <c r="B14" s="1" t="s">
        <v>61</v>
      </c>
      <c r="C14" s="423">
        <f>'รับ-จ่าย  (2)'!J23</f>
        <v>0</v>
      </c>
      <c r="D14" s="694">
        <f t="shared" si="0"/>
        <v>0</v>
      </c>
      <c r="E14" s="691"/>
    </row>
    <row r="15" spans="1:5" ht="19.5" customHeight="1">
      <c r="A15" s="422"/>
      <c r="B15" s="1" t="s">
        <v>147</v>
      </c>
      <c r="C15" s="423">
        <f>'[1]รับ-จ่าย'!I62</f>
        <v>0</v>
      </c>
      <c r="D15" s="694">
        <f t="shared" si="0"/>
        <v>0</v>
      </c>
      <c r="E15" s="691"/>
    </row>
    <row r="16" spans="1:5" ht="19.5" customHeight="1">
      <c r="A16" s="422"/>
      <c r="B16" s="1" t="s">
        <v>180</v>
      </c>
      <c r="C16" s="423"/>
      <c r="D16" s="694">
        <f t="shared" si="0"/>
        <v>0</v>
      </c>
      <c r="E16" s="691"/>
    </row>
    <row r="17" spans="1:5" ht="19.5" customHeight="1">
      <c r="A17" s="422"/>
      <c r="B17" s="1" t="s">
        <v>93</v>
      </c>
      <c r="C17" s="423">
        <f>'รับ-จ่าย  (2)'!J19</f>
        <v>0</v>
      </c>
      <c r="D17" s="694">
        <f t="shared" si="0"/>
        <v>0</v>
      </c>
      <c r="E17" s="691">
        <v>0</v>
      </c>
    </row>
    <row r="18" spans="1:5" ht="19.5" customHeight="1">
      <c r="A18" s="422"/>
      <c r="B18" s="1" t="s">
        <v>99</v>
      </c>
      <c r="C18" s="423">
        <f>'รับ-จ่าย  (2)'!J22</f>
        <v>0</v>
      </c>
      <c r="D18" s="694">
        <f t="shared" si="0"/>
        <v>0</v>
      </c>
      <c r="E18" s="691">
        <v>0</v>
      </c>
    </row>
    <row r="19" spans="1:5" ht="19.5" customHeight="1">
      <c r="A19" s="422"/>
      <c r="B19" s="1" t="s">
        <v>358</v>
      </c>
      <c r="C19" s="423">
        <v>0</v>
      </c>
      <c r="D19" s="694">
        <f t="shared" si="0"/>
        <v>0</v>
      </c>
      <c r="E19" s="691"/>
    </row>
    <row r="20" spans="1:5" ht="19.5" customHeight="1">
      <c r="A20" s="422"/>
      <c r="B20" s="1" t="s">
        <v>140</v>
      </c>
      <c r="C20" s="423">
        <f>'รับ-จ่าย  (2)'!J59</f>
        <v>0</v>
      </c>
      <c r="D20" s="694">
        <f t="shared" si="0"/>
        <v>6000</v>
      </c>
      <c r="E20" s="691">
        <f>600+1900+1900+800+800</f>
        <v>6000</v>
      </c>
    </row>
    <row r="21" spans="1:5" ht="19.5" customHeight="1">
      <c r="A21" s="422"/>
      <c r="B21" s="1" t="s">
        <v>92</v>
      </c>
      <c r="C21" s="423">
        <f>'รับ-จ่าย  (2)'!J60</f>
        <v>0</v>
      </c>
      <c r="D21" s="694">
        <f t="shared" si="0"/>
        <v>0</v>
      </c>
      <c r="E21" s="691">
        <v>0</v>
      </c>
    </row>
    <row r="22" spans="1:5" ht="19.5" customHeight="1">
      <c r="A22" s="422"/>
      <c r="B22" s="1" t="s">
        <v>145</v>
      </c>
      <c r="C22" s="423">
        <f>'รับ-จ่าย  (2)'!J61</f>
        <v>0</v>
      </c>
      <c r="D22" s="694">
        <f t="shared" si="0"/>
        <v>0</v>
      </c>
      <c r="E22" s="691">
        <v>0</v>
      </c>
    </row>
    <row r="23" spans="1:5" ht="19.5" customHeight="1">
      <c r="A23" s="422"/>
      <c r="B23" s="1" t="s">
        <v>156</v>
      </c>
      <c r="C23" s="423">
        <f>'รับ-จ่าย  (2)'!J62</f>
        <v>0</v>
      </c>
      <c r="D23" s="694">
        <f t="shared" si="0"/>
        <v>20000</v>
      </c>
      <c r="E23" s="691">
        <f>500+19000+500</f>
        <v>20000</v>
      </c>
    </row>
    <row r="24" spans="1:5" ht="19.5" customHeight="1">
      <c r="A24" s="422"/>
      <c r="B24" s="1" t="s">
        <v>119</v>
      </c>
      <c r="C24" s="423"/>
      <c r="D24" s="694">
        <f t="shared" si="0"/>
        <v>0</v>
      </c>
      <c r="E24" s="691"/>
    </row>
    <row r="25" spans="1:5" ht="19.5" customHeight="1">
      <c r="A25" s="422"/>
      <c r="B25" s="1" t="s">
        <v>140</v>
      </c>
      <c r="C25" s="423">
        <f>'[1]รับ-จ่าย'!I27</f>
        <v>0</v>
      </c>
      <c r="D25" s="694">
        <f t="shared" si="0"/>
        <v>0</v>
      </c>
      <c r="E25" s="691"/>
    </row>
    <row r="26" spans="1:5" ht="19.5" customHeight="1">
      <c r="A26" s="422"/>
      <c r="B26" s="1" t="s">
        <v>160</v>
      </c>
      <c r="C26" s="423">
        <f>'รับ-จ่าย  (2)'!J64</f>
        <v>0</v>
      </c>
      <c r="D26" s="694">
        <f t="shared" si="0"/>
        <v>15740</v>
      </c>
      <c r="E26" s="691">
        <f>7540+1000+7200</f>
        <v>15740</v>
      </c>
    </row>
    <row r="27" spans="1:5" ht="19.5" customHeight="1">
      <c r="A27" s="422"/>
      <c r="B27" s="1" t="s">
        <v>227</v>
      </c>
      <c r="C27" s="423">
        <f>'รับ-จ่าย  (2)'!J63</f>
        <v>0</v>
      </c>
      <c r="D27" s="694">
        <f t="shared" si="0"/>
        <v>63.9</v>
      </c>
      <c r="E27" s="691">
        <v>63.9</v>
      </c>
    </row>
    <row r="28" spans="1:5" ht="19.5" customHeight="1">
      <c r="A28" s="422"/>
      <c r="B28" s="1" t="s">
        <v>135</v>
      </c>
      <c r="C28" s="423">
        <v>0</v>
      </c>
      <c r="D28" s="694">
        <f t="shared" si="0"/>
        <v>0</v>
      </c>
      <c r="E28" s="691"/>
    </row>
    <row r="29" spans="1:5" ht="19.5" customHeight="1">
      <c r="A29" s="422"/>
      <c r="B29" s="1" t="s">
        <v>172</v>
      </c>
      <c r="C29" s="423">
        <v>0</v>
      </c>
      <c r="D29" s="694">
        <v>0</v>
      </c>
      <c r="E29" s="691"/>
    </row>
    <row r="30" spans="1:5" ht="19.5" customHeight="1">
      <c r="A30" s="422"/>
      <c r="B30" s="1" t="s">
        <v>644</v>
      </c>
      <c r="C30" s="423">
        <f>'รับ-จ่าย  (2)'!J65</f>
        <v>0</v>
      </c>
      <c r="D30" s="694">
        <v>0</v>
      </c>
      <c r="E30" s="691">
        <v>26840</v>
      </c>
    </row>
    <row r="31" spans="1:5" ht="19.5" customHeight="1" thickBot="1">
      <c r="A31" s="422"/>
      <c r="B31" s="1" t="s">
        <v>118</v>
      </c>
      <c r="C31" s="423">
        <f>'รับ-จ่าย  (2)'!J56</f>
        <v>0</v>
      </c>
      <c r="D31" s="694">
        <f t="shared" si="0"/>
        <v>0</v>
      </c>
      <c r="E31" s="691">
        <v>0</v>
      </c>
    </row>
    <row r="32" spans="1:5" ht="19.5" customHeight="1" thickBot="1" thickTop="1">
      <c r="A32" s="422"/>
      <c r="B32" s="425" t="s">
        <v>49</v>
      </c>
      <c r="C32" s="689">
        <f>SUM(C6:C31)</f>
        <v>3525842.3400000003</v>
      </c>
      <c r="D32" s="695">
        <f>SUM(D6:D31)</f>
        <v>38365443.07999999</v>
      </c>
      <c r="E32" s="692">
        <f>SUM(E6:E31)</f>
        <v>34881662.739999995</v>
      </c>
    </row>
    <row r="33" spans="1:5" ht="19.5" customHeight="1" thickTop="1">
      <c r="A33" s="421" t="s">
        <v>67</v>
      </c>
      <c r="B33" s="1" t="s">
        <v>83</v>
      </c>
      <c r="C33" s="423">
        <f>'รับ-จ่าย  (2)'!L82</f>
        <v>2439925.3800000004</v>
      </c>
      <c r="D33" s="428">
        <f aca="true" t="shared" si="1" ref="D33:D48">E33+C33</f>
        <v>23467924.18</v>
      </c>
      <c r="E33" s="429">
        <f>1678934.91+3709295.57+2242679.82+2242679.82+2242679.82+2876381.5+2303050.92+3732296.44</f>
        <v>21027998.8</v>
      </c>
    </row>
    <row r="34" spans="1:5" ht="19.5" customHeight="1">
      <c r="A34" s="422"/>
      <c r="B34" s="1" t="s">
        <v>111</v>
      </c>
      <c r="C34" s="423"/>
      <c r="D34" s="428">
        <f t="shared" si="1"/>
        <v>0</v>
      </c>
      <c r="E34" s="429">
        <v>0</v>
      </c>
    </row>
    <row r="35" spans="1:5" ht="19.5" customHeight="1">
      <c r="A35" s="422"/>
      <c r="B35" s="1" t="s">
        <v>84</v>
      </c>
      <c r="C35" s="423">
        <f>'รับ-จ่าย  (2)'!J97</f>
        <v>64164.64</v>
      </c>
      <c r="D35" s="428">
        <f t="shared" si="1"/>
        <v>809856.45</v>
      </c>
      <c r="E35" s="429">
        <f>25764.4+67674.4+164612.84+177408.84+177408.84+73259.98+23980.02+35582.49</f>
        <v>745691.8099999999</v>
      </c>
    </row>
    <row r="36" spans="1:5" ht="19.5" customHeight="1">
      <c r="A36" s="422"/>
      <c r="B36" s="1" t="s">
        <v>105</v>
      </c>
      <c r="C36" s="423">
        <f>'รับ-จ่าย  (2)'!J110</f>
        <v>0</v>
      </c>
      <c r="D36" s="428">
        <f t="shared" si="1"/>
        <v>0</v>
      </c>
      <c r="E36" s="429">
        <v>0</v>
      </c>
    </row>
    <row r="37" spans="1:5" ht="19.5" customHeight="1">
      <c r="A37" s="422"/>
      <c r="B37" s="1" t="s">
        <v>222</v>
      </c>
      <c r="C37" s="423">
        <f>'รับ-จ่าย  (2)'!J102+'รับ-จ่าย  (2)'!J105+'รับ-จ่าย  (2)'!J100</f>
        <v>24333.25</v>
      </c>
      <c r="D37" s="428">
        <f t="shared" si="1"/>
        <v>187776</v>
      </c>
      <c r="E37" s="429">
        <f>15926.5+18400+18400+18400+17500+41389.75+33426.5</f>
        <v>163442.75</v>
      </c>
    </row>
    <row r="38" spans="1:5" ht="19.5" customHeight="1">
      <c r="A38" s="422"/>
      <c r="B38" s="434" t="s">
        <v>234</v>
      </c>
      <c r="C38" s="423">
        <v>0</v>
      </c>
      <c r="D38" s="428">
        <f t="shared" si="1"/>
        <v>0</v>
      </c>
      <c r="E38" s="429">
        <v>0</v>
      </c>
    </row>
    <row r="39" spans="1:5" ht="19.5" customHeight="1">
      <c r="A39" s="422"/>
      <c r="B39" s="1" t="s">
        <v>148</v>
      </c>
      <c r="C39" s="423">
        <v>0</v>
      </c>
      <c r="D39" s="428">
        <f t="shared" si="1"/>
        <v>0</v>
      </c>
      <c r="E39" s="429">
        <v>0</v>
      </c>
    </row>
    <row r="40" spans="1:5" ht="19.5" customHeight="1">
      <c r="A40" s="422"/>
      <c r="B40" s="1" t="s">
        <v>81</v>
      </c>
      <c r="C40" s="430">
        <f>'รับ-จ่าย  (2)'!J94</f>
        <v>0</v>
      </c>
      <c r="D40" s="428">
        <f t="shared" si="1"/>
        <v>1177598.39</v>
      </c>
      <c r="E40" s="429">
        <f>528103.24+500000+119995.15+29500</f>
        <v>1177598.39</v>
      </c>
    </row>
    <row r="41" spans="1:5" ht="19.5" customHeight="1">
      <c r="A41" s="422"/>
      <c r="B41" s="1" t="s">
        <v>95</v>
      </c>
      <c r="C41" s="430">
        <f>'[1]รับ-จ่าย'!I61</f>
        <v>0</v>
      </c>
      <c r="D41" s="428">
        <f t="shared" si="1"/>
        <v>0</v>
      </c>
      <c r="E41" s="429">
        <v>0</v>
      </c>
    </row>
    <row r="42" spans="1:5" ht="19.5" customHeight="1">
      <c r="A42" s="422"/>
      <c r="B42" s="1" t="s">
        <v>375</v>
      </c>
      <c r="C42" s="430">
        <f>'รับ-จ่าย  (2)'!J90</f>
        <v>0</v>
      </c>
      <c r="D42" s="428">
        <f t="shared" si="1"/>
        <v>0</v>
      </c>
      <c r="E42" s="429">
        <v>0</v>
      </c>
    </row>
    <row r="43" spans="1:5" ht="19.5" customHeight="1">
      <c r="A43" s="422"/>
      <c r="B43" s="1" t="s">
        <v>79</v>
      </c>
      <c r="C43" s="430">
        <f>'รับ-จ่าย  (2)'!J91</f>
        <v>617900</v>
      </c>
      <c r="D43" s="428">
        <f t="shared" si="1"/>
        <v>3506794.62</v>
      </c>
      <c r="E43" s="429">
        <f>468300+465600+497094.62+469900+492500+495500</f>
        <v>2888894.62</v>
      </c>
    </row>
    <row r="44" spans="1:5" ht="19.5" customHeight="1">
      <c r="A44" s="422"/>
      <c r="B44" s="159" t="s">
        <v>35</v>
      </c>
      <c r="C44" s="423">
        <f>'รับ-จ่าย  (2)'!J92</f>
        <v>0</v>
      </c>
      <c r="D44" s="428">
        <f t="shared" si="1"/>
        <v>0</v>
      </c>
      <c r="E44" s="429">
        <v>0</v>
      </c>
    </row>
    <row r="45" spans="1:5" ht="19.5" customHeight="1">
      <c r="A45" s="422"/>
      <c r="B45" s="1" t="s">
        <v>330</v>
      </c>
      <c r="C45" s="423">
        <f>'รับ-จ่าย  (2)'!J93</f>
        <v>0</v>
      </c>
      <c r="D45" s="428">
        <f t="shared" si="1"/>
        <v>0</v>
      </c>
      <c r="E45" s="429">
        <v>0</v>
      </c>
    </row>
    <row r="46" spans="1:5" ht="19.5" customHeight="1">
      <c r="A46" s="422"/>
      <c r="B46" s="1" t="s">
        <v>182</v>
      </c>
      <c r="C46" s="430">
        <f>'รับ-จ่าย  (2)'!J95</f>
        <v>0</v>
      </c>
      <c r="D46" s="428">
        <f t="shared" si="1"/>
        <v>794040.6</v>
      </c>
      <c r="E46" s="429">
        <f>790092.6+3948</f>
        <v>794040.6</v>
      </c>
    </row>
    <row r="47" spans="1:5" ht="19.5" customHeight="1">
      <c r="A47" s="422"/>
      <c r="B47" s="1" t="s">
        <v>106</v>
      </c>
      <c r="C47" s="423">
        <f>'รับ-จ่าย  (2)'!J96</f>
        <v>0</v>
      </c>
      <c r="D47" s="428">
        <f t="shared" si="1"/>
        <v>0</v>
      </c>
      <c r="E47" s="429">
        <v>0</v>
      </c>
    </row>
    <row r="48" spans="1:5" ht="19.5" customHeight="1" thickBot="1">
      <c r="A48" s="422"/>
      <c r="B48" s="1" t="s">
        <v>107</v>
      </c>
      <c r="C48" s="423">
        <v>0</v>
      </c>
      <c r="D48" s="428">
        <f t="shared" si="1"/>
        <v>0</v>
      </c>
      <c r="E48" s="424">
        <v>0</v>
      </c>
    </row>
    <row r="49" spans="1:5" ht="19.5" customHeight="1" thickBot="1">
      <c r="A49" s="422"/>
      <c r="B49" s="174" t="s">
        <v>50</v>
      </c>
      <c r="C49" s="426">
        <f>SUM(C33:C48)</f>
        <v>3146323.2700000005</v>
      </c>
      <c r="D49" s="426">
        <f>SUM(D33:D48)</f>
        <v>29943990.240000002</v>
      </c>
      <c r="E49" s="427">
        <f>SUM(E33:E48)</f>
        <v>26797666.970000003</v>
      </c>
    </row>
    <row r="50" spans="1:5" ht="19.5" customHeight="1" thickBot="1">
      <c r="A50" s="417"/>
      <c r="B50" s="431" t="s">
        <v>85</v>
      </c>
      <c r="C50" s="432">
        <f>SUM(C32-C49)</f>
        <v>379519.06999999983</v>
      </c>
      <c r="D50" s="432">
        <f>SUM(D32-D49)</f>
        <v>8421452.839999989</v>
      </c>
      <c r="E50" s="433">
        <v>4467723.75</v>
      </c>
    </row>
    <row r="51" spans="2:4" ht="18.75" hidden="1" thickTop="1">
      <c r="B51" s="434" t="s">
        <v>167</v>
      </c>
      <c r="C51" s="435">
        <f>'รับ-จ่าย  (2)'!D114</f>
        <v>4889065.139999993</v>
      </c>
      <c r="D51" s="436">
        <f>'รับ-จ่าย  (2)'!J114</f>
        <v>379519.06999999937</v>
      </c>
    </row>
    <row r="52" spans="2:5" ht="18" hidden="1">
      <c r="B52" s="434" t="s">
        <v>168</v>
      </c>
      <c r="C52" s="435">
        <f>C50-C51</f>
        <v>-4509546.069999993</v>
      </c>
      <c r="D52" s="435">
        <f>D50-D51</f>
        <v>8041933.769999989</v>
      </c>
      <c r="E52" s="437"/>
    </row>
    <row r="53" ht="18.75" thickTop="1"/>
  </sheetData>
  <sheetProtection/>
  <mergeCells count="3">
    <mergeCell ref="A1:D1"/>
    <mergeCell ref="A2:D2"/>
    <mergeCell ref="A3:D3"/>
  </mergeCells>
  <printOptions/>
  <pageMargins left="0.6692913385826772" right="0.15748031496062992" top="0.31496062992125984" bottom="0.2755905511811024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G24"/>
  <sheetViews>
    <sheetView zoomScale="110" zoomScaleNormal="110" zoomScalePageLayoutView="0" workbookViewId="0" topLeftCell="A3">
      <selection activeCell="C12" sqref="C12"/>
    </sheetView>
  </sheetViews>
  <sheetFormatPr defaultColWidth="9.140625" defaultRowHeight="21.75" customHeight="1"/>
  <cols>
    <col min="1" max="1" width="42.57421875" style="1" customWidth="1"/>
    <col min="2" max="2" width="10.57421875" style="1" customWidth="1"/>
    <col min="3" max="3" width="13.57421875" style="1" customWidth="1"/>
    <col min="4" max="4" width="13.7109375" style="1" customWidth="1"/>
    <col min="5" max="5" width="13.8515625" style="1" customWidth="1"/>
    <col min="6" max="6" width="13.57421875" style="1" customWidth="1"/>
    <col min="7" max="7" width="13.57421875" style="1" bestFit="1" customWidth="1"/>
    <col min="8" max="16384" width="9.140625" style="1" customWidth="1"/>
  </cols>
  <sheetData>
    <row r="1" spans="5:6" ht="21.75" customHeight="1">
      <c r="E1" s="756" t="s">
        <v>130</v>
      </c>
      <c r="F1" s="756"/>
    </row>
    <row r="2" spans="1:6" ht="21.75" customHeight="1">
      <c r="A2" s="754" t="s">
        <v>76</v>
      </c>
      <c r="B2" s="754"/>
      <c r="C2" s="754"/>
      <c r="D2" s="754"/>
      <c r="E2" s="754"/>
      <c r="F2" s="754"/>
    </row>
    <row r="3" spans="1:6" ht="21.75" customHeight="1">
      <c r="A3" s="754" t="s">
        <v>62</v>
      </c>
      <c r="B3" s="754"/>
      <c r="C3" s="754"/>
      <c r="D3" s="754"/>
      <c r="E3" s="754"/>
      <c r="F3" s="754"/>
    </row>
    <row r="4" spans="1:6" ht="21.75" customHeight="1">
      <c r="A4" s="754" t="s">
        <v>739</v>
      </c>
      <c r="B4" s="754"/>
      <c r="C4" s="754"/>
      <c r="D4" s="754"/>
      <c r="E4" s="754"/>
      <c r="F4" s="754"/>
    </row>
    <row r="5" ht="21.75" customHeight="1" thickBot="1"/>
    <row r="6" spans="1:6" ht="21.75" customHeight="1" thickBot="1">
      <c r="A6" s="438" t="s">
        <v>42</v>
      </c>
      <c r="B6" s="224" t="s">
        <v>47</v>
      </c>
      <c r="C6" s="439" t="s">
        <v>48</v>
      </c>
      <c r="D6" s="439" t="s">
        <v>63</v>
      </c>
      <c r="E6" s="439" t="s">
        <v>64</v>
      </c>
      <c r="F6" s="440" t="s">
        <v>65</v>
      </c>
    </row>
    <row r="7" spans="1:6" ht="21.75" customHeight="1">
      <c r="A7" s="445" t="s">
        <v>132</v>
      </c>
      <c r="B7" s="446">
        <v>230102</v>
      </c>
      <c r="C7" s="404">
        <v>5669.64</v>
      </c>
      <c r="D7" s="404">
        <f>'ใบผ่านรายการ  2'!F32</f>
        <v>3318.99</v>
      </c>
      <c r="E7" s="447">
        <f>'ใบผ่านรายการ  2'!E32</f>
        <v>5669.64</v>
      </c>
      <c r="F7" s="181">
        <f>SUM(C7+D7-E7)</f>
        <v>3318.9900000000007</v>
      </c>
    </row>
    <row r="8" spans="1:6" ht="21">
      <c r="A8" s="445" t="s">
        <v>128</v>
      </c>
      <c r="B8" s="446">
        <v>230105</v>
      </c>
      <c r="C8" s="404">
        <v>23290.89</v>
      </c>
      <c r="D8" s="404">
        <f>'ใบผ่านรายการ 1 '!H18</f>
        <v>32.17</v>
      </c>
      <c r="E8" s="447">
        <v>0</v>
      </c>
      <c r="F8" s="181">
        <f>SUM(C8+D8-E8)</f>
        <v>23323.059999999998</v>
      </c>
    </row>
    <row r="9" spans="1:6" ht="21">
      <c r="A9" s="451" t="s">
        <v>224</v>
      </c>
      <c r="B9" s="229" t="s">
        <v>391</v>
      </c>
      <c r="C9" s="404">
        <v>0</v>
      </c>
      <c r="D9" s="404">
        <f>'ใบผ่านรายการ 1 '!H19</f>
        <v>0</v>
      </c>
      <c r="E9" s="447">
        <f>'ใบผ่านรายการ  2'!E33</f>
        <v>0</v>
      </c>
      <c r="F9" s="181">
        <f aca="true" t="shared" si="0" ref="F9:F18">SUM(C9+D9-E9)</f>
        <v>0</v>
      </c>
    </row>
    <row r="10" spans="1:7" ht="21.75" customHeight="1">
      <c r="A10" s="441" t="s">
        <v>327</v>
      </c>
      <c r="B10" s="442">
        <v>230109</v>
      </c>
      <c r="C10" s="443">
        <v>158698.45</v>
      </c>
      <c r="D10" s="443">
        <f>'ใบผ่านรายการ 1 '!H16</f>
        <v>3750</v>
      </c>
      <c r="E10" s="444">
        <f>'ใบผ่านรายการ  2'!E34</f>
        <v>42425</v>
      </c>
      <c r="F10" s="181">
        <f t="shared" si="0"/>
        <v>120023.45000000001</v>
      </c>
      <c r="G10" s="184"/>
    </row>
    <row r="11" spans="1:6" ht="21.75" customHeight="1">
      <c r="A11" s="445" t="s">
        <v>133</v>
      </c>
      <c r="B11" s="446">
        <v>230110</v>
      </c>
      <c r="C11" s="404">
        <v>34380</v>
      </c>
      <c r="D11" s="404">
        <f>'ใบผ่านรายการ 1 '!H17</f>
        <v>0</v>
      </c>
      <c r="E11" s="447">
        <f>'ใบผ่านรายการ  2'!E35</f>
        <v>0</v>
      </c>
      <c r="F11" s="181">
        <f t="shared" si="0"/>
        <v>34380</v>
      </c>
    </row>
    <row r="12" spans="1:6" ht="21">
      <c r="A12" s="445" t="s">
        <v>310</v>
      </c>
      <c r="B12" s="446">
        <v>215014</v>
      </c>
      <c r="C12" s="404">
        <v>0</v>
      </c>
      <c r="D12" s="404">
        <v>0</v>
      </c>
      <c r="E12" s="447">
        <v>0</v>
      </c>
      <c r="F12" s="181">
        <f t="shared" si="0"/>
        <v>0</v>
      </c>
    </row>
    <row r="13" spans="1:7" ht="21">
      <c r="A13" s="448" t="s">
        <v>174</v>
      </c>
      <c r="B13" s="449">
        <v>230115</v>
      </c>
      <c r="C13" s="450">
        <v>16370</v>
      </c>
      <c r="D13" s="404">
        <f>'ใบผ่านรายการ  2'!F36+'ใบผ่านรายการ 1 '!H20</f>
        <v>15570</v>
      </c>
      <c r="E13" s="447">
        <f>'ใบผ่านรายการ  2'!E36+ใบผ่านทั่วไป!F135</f>
        <v>16070</v>
      </c>
      <c r="F13" s="181">
        <f t="shared" si="0"/>
        <v>15870</v>
      </c>
      <c r="G13" s="184"/>
    </row>
    <row r="14" spans="1:6" ht="21">
      <c r="A14" s="454" t="s">
        <v>390</v>
      </c>
      <c r="B14" s="449">
        <v>230116</v>
      </c>
      <c r="C14" s="450">
        <v>42020</v>
      </c>
      <c r="D14" s="450">
        <v>0</v>
      </c>
      <c r="E14" s="453">
        <f>'ใบผ่านรายการ  2'!E37</f>
        <v>0</v>
      </c>
      <c r="F14" s="181">
        <f t="shared" si="0"/>
        <v>42020</v>
      </c>
    </row>
    <row r="15" spans="1:6" ht="21">
      <c r="A15" s="728" t="s">
        <v>659</v>
      </c>
      <c r="B15" s="449"/>
      <c r="C15" s="450"/>
      <c r="D15" s="450">
        <v>0</v>
      </c>
      <c r="E15" s="453">
        <v>0</v>
      </c>
      <c r="F15" s="181">
        <f t="shared" si="0"/>
        <v>0</v>
      </c>
    </row>
    <row r="16" spans="1:6" ht="21">
      <c r="A16" s="728" t="s">
        <v>657</v>
      </c>
      <c r="B16" s="449"/>
      <c r="C16" s="450"/>
      <c r="D16" s="450">
        <v>0</v>
      </c>
      <c r="E16" s="453">
        <f>'ใบผ่านรายการ  2'!E38</f>
        <v>0</v>
      </c>
      <c r="F16" s="181">
        <f t="shared" si="0"/>
        <v>0</v>
      </c>
    </row>
    <row r="17" spans="1:6" ht="21">
      <c r="A17" s="452" t="s">
        <v>175</v>
      </c>
      <c r="B17" s="449">
        <v>230199</v>
      </c>
      <c r="C17" s="450">
        <v>220</v>
      </c>
      <c r="D17" s="450">
        <f>'ใบผ่านรายการ 1 '!H27</f>
        <v>40000</v>
      </c>
      <c r="E17" s="453">
        <f>'ใบผ่านรายการ  2'!E42</f>
        <v>0</v>
      </c>
      <c r="F17" s="181">
        <f t="shared" si="0"/>
        <v>40220</v>
      </c>
    </row>
    <row r="18" spans="1:6" ht="21.75" thickBot="1">
      <c r="A18" s="523" t="s">
        <v>395</v>
      </c>
      <c r="B18" s="449">
        <v>230199</v>
      </c>
      <c r="C18" s="450">
        <v>0</v>
      </c>
      <c r="D18" s="450">
        <f>'ใบผ่านรายการ 1 '!H23</f>
        <v>0</v>
      </c>
      <c r="E18" s="447">
        <f>'ใบผ่านรายการ  2'!E39</f>
        <v>0</v>
      </c>
      <c r="F18" s="181">
        <f t="shared" si="0"/>
        <v>0</v>
      </c>
    </row>
    <row r="19" spans="1:7" ht="21.75" thickBot="1">
      <c r="A19" s="777" t="s">
        <v>70</v>
      </c>
      <c r="B19" s="858"/>
      <c r="C19" s="455">
        <f>SUM(C7:C18)</f>
        <v>280648.98</v>
      </c>
      <c r="D19" s="455">
        <f>D7+D8+D9+D10+D11+D12+D13+D14+D15+D16+D17</f>
        <v>62671.16</v>
      </c>
      <c r="E19" s="455">
        <f>E7+E8+E9+E10+E11+E12+E13+E14+E15+E16+E17+E18</f>
        <v>64164.64</v>
      </c>
      <c r="F19" s="455">
        <f>SUM(F7:F18)</f>
        <v>279155.5</v>
      </c>
      <c r="G19" s="184"/>
    </row>
    <row r="20" spans="4:7" ht="21.75" customHeight="1">
      <c r="D20" s="184"/>
      <c r="G20" s="184">
        <f>F19-G19</f>
        <v>279155.5</v>
      </c>
    </row>
    <row r="21" spans="3:7" ht="21.75" customHeight="1">
      <c r="C21" s="2"/>
      <c r="D21" s="184"/>
      <c r="F21" s="184"/>
      <c r="G21" s="184"/>
    </row>
    <row r="22" spans="2:4" ht="21.75" customHeight="1">
      <c r="B22" s="856"/>
      <c r="C22" s="856"/>
      <c r="D22" s="856"/>
    </row>
    <row r="23" spans="2:3" ht="21.75" customHeight="1">
      <c r="B23" s="3"/>
      <c r="C23" s="3"/>
    </row>
    <row r="24" spans="2:4" ht="21.75" customHeight="1">
      <c r="B24" s="857"/>
      <c r="C24" s="857"/>
      <c r="D24" s="857"/>
    </row>
  </sheetData>
  <sheetProtection/>
  <mergeCells count="7">
    <mergeCell ref="B22:D22"/>
    <mergeCell ref="B24:D24"/>
    <mergeCell ref="E1:F1"/>
    <mergeCell ref="A2:F2"/>
    <mergeCell ref="A3:F3"/>
    <mergeCell ref="A4:F4"/>
    <mergeCell ref="A19:B19"/>
  </mergeCells>
  <printOptions horizontalCentered="1"/>
  <pageMargins left="0.25" right="0" top="0.7874015748031497" bottom="0.5905511811023623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KKD Windows Se7en V1</cp:lastModifiedBy>
  <cp:lastPrinted>2017-07-04T09:35:23Z</cp:lastPrinted>
  <dcterms:created xsi:type="dcterms:W3CDTF">2004-10-24T06:57:58Z</dcterms:created>
  <dcterms:modified xsi:type="dcterms:W3CDTF">2017-07-12T03:52:44Z</dcterms:modified>
  <cp:category/>
  <cp:version/>
  <cp:contentType/>
  <cp:contentStatus/>
</cp:coreProperties>
</file>