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995" tabRatio="666" activeTab="2"/>
  </bookViews>
  <sheets>
    <sheet name="คู่มือจัด จ.18" sheetId="13" r:id="rId1"/>
    <sheet name="บัญชีหมายเลข1(ปี2558)" sheetId="7" r:id="rId2"/>
    <sheet name="บัญชีหมายเลข2(ปี2558)" sheetId="8" r:id="rId3"/>
    <sheet name="บัญชีหมายเลข3(ปี2558)" sheetId="9" r:id="rId4"/>
    <sheet name="บัญชีหมายเลข4(ปี2558)" sheetId="10" r:id="rId5"/>
    <sheet name="dropdown" sheetId="14" r:id="rId6"/>
    <sheet name="ตารางเทียบเงินเดือน" sheetId="11" r:id="rId7"/>
  </sheets>
  <calcPr calcId="145621"/>
</workbook>
</file>

<file path=xl/calcChain.xml><?xml version="1.0" encoding="utf-8"?>
<calcChain xmlns="http://schemas.openxmlformats.org/spreadsheetml/2006/main">
  <c r="DC10" i="8" l="1"/>
  <c r="DD10" i="8"/>
  <c r="DC11" i="8"/>
  <c r="DD11" i="8"/>
  <c r="DC12" i="8"/>
  <c r="DD12" i="8"/>
  <c r="DC13" i="8"/>
  <c r="DD13" i="8"/>
  <c r="DC14" i="8"/>
  <c r="DD14" i="8"/>
  <c r="DC15" i="8"/>
  <c r="DD15" i="8"/>
  <c r="DC16" i="8"/>
  <c r="DD16" i="8"/>
  <c r="DC17" i="8"/>
  <c r="DD17" i="8"/>
  <c r="DC18" i="8"/>
  <c r="DD18" i="8"/>
  <c r="DD9" i="8"/>
  <c r="DC9" i="8"/>
  <c r="DB10" i="8"/>
  <c r="DB11" i="8"/>
  <c r="DB12" i="8"/>
  <c r="DB13" i="8"/>
  <c r="DB14" i="8"/>
  <c r="DB15" i="8"/>
  <c r="DB16" i="8"/>
  <c r="DB17" i="8"/>
  <c r="DB18" i="8"/>
  <c r="DB9" i="8"/>
  <c r="BH18" i="8" l="1"/>
  <c r="CV16" i="8"/>
  <c r="CV17" i="8"/>
  <c r="CV18" i="8"/>
  <c r="BM13" i="8"/>
  <c r="BM16" i="8"/>
  <c r="BM18" i="8"/>
  <c r="CP18" i="8" l="1"/>
  <c r="CP9" i="8"/>
  <c r="CP10" i="8"/>
  <c r="CP12" i="8"/>
  <c r="CV12" i="8" s="1"/>
  <c r="CO18" i="8"/>
  <c r="CO9" i="8"/>
  <c r="CV9" i="8" s="1"/>
  <c r="CO10" i="8"/>
  <c r="CO12" i="8"/>
  <c r="CV11" i="8"/>
  <c r="CV10" i="8" l="1"/>
  <c r="BF18" i="8"/>
  <c r="BF9" i="8"/>
  <c r="BH9" i="8" s="1"/>
  <c r="Z9" i="7"/>
  <c r="Z8" i="7"/>
  <c r="CX18" i="8"/>
  <c r="DW16" i="8"/>
  <c r="DU10" i="8"/>
  <c r="DU11" i="8"/>
  <c r="DW11" i="8" s="1"/>
  <c r="DU12" i="8"/>
  <c r="DU13" i="8"/>
  <c r="DW13" i="8" s="1"/>
  <c r="DU14" i="8"/>
  <c r="DW14" i="8" s="1"/>
  <c r="DU15" i="8"/>
  <c r="DW15" i="8" s="1"/>
  <c r="DU16" i="8"/>
  <c r="DU17" i="8"/>
  <c r="DW17" i="8" s="1"/>
  <c r="DU18" i="8"/>
  <c r="DW18" i="8" s="1"/>
  <c r="DV10" i="8"/>
  <c r="DV11" i="8"/>
  <c r="DV12" i="8"/>
  <c r="DV13" i="8"/>
  <c r="DV14" i="8"/>
  <c r="DV15" i="8"/>
  <c r="DV16" i="8"/>
  <c r="DV17" i="8"/>
  <c r="DV18" i="8"/>
  <c r="G19" i="7" l="1"/>
  <c r="E19" i="7"/>
  <c r="C19" i="7"/>
  <c r="FS12" i="8"/>
  <c r="FS13" i="8"/>
  <c r="FS14" i="8"/>
  <c r="FS15" i="8"/>
  <c r="FS16" i="8"/>
  <c r="FS17" i="8"/>
  <c r="FS18" i="8"/>
  <c r="GJ10" i="8"/>
  <c r="GJ11" i="8"/>
  <c r="GJ12" i="8"/>
  <c r="GJ13" i="8"/>
  <c r="GJ14" i="8"/>
  <c r="GJ15" i="8"/>
  <c r="GJ16" i="8"/>
  <c r="GJ17" i="8"/>
  <c r="GJ18" i="8"/>
  <c r="GK10" i="8"/>
  <c r="GL10" i="8" s="1"/>
  <c r="GK11" i="8"/>
  <c r="GL11" i="8" s="1"/>
  <c r="GK12" i="8"/>
  <c r="GL12" i="8" s="1"/>
  <c r="GK13" i="8"/>
  <c r="GL13" i="8" s="1"/>
  <c r="GK14" i="8"/>
  <c r="GL14" i="8" s="1"/>
  <c r="GK15" i="8"/>
  <c r="GL15" i="8" s="1"/>
  <c r="GK16" i="8"/>
  <c r="GL16" i="8" s="1"/>
  <c r="GK17" i="8"/>
  <c r="GL17" i="8" s="1"/>
  <c r="GK18" i="8"/>
  <c r="GL18" i="8" s="1"/>
  <c r="GK9" i="8"/>
  <c r="GL9" i="8" s="1"/>
  <c r="GC10" i="8"/>
  <c r="GC11" i="8"/>
  <c r="GC13" i="8"/>
  <c r="GC14" i="8"/>
  <c r="GC15" i="8"/>
  <c r="GC16" i="8"/>
  <c r="GC17" i="8"/>
  <c r="GC18" i="8"/>
  <c r="GC9" i="8"/>
  <c r="GD10" i="8"/>
  <c r="GE10" i="8" s="1"/>
  <c r="GD11" i="8"/>
  <c r="GE11" i="8" s="1"/>
  <c r="GD12" i="8"/>
  <c r="GE12" i="8" s="1"/>
  <c r="GD13" i="8"/>
  <c r="GE13" i="8" s="1"/>
  <c r="GD14" i="8"/>
  <c r="GE14" i="8" s="1"/>
  <c r="GD15" i="8"/>
  <c r="GE15" i="8" s="1"/>
  <c r="GD16" i="8"/>
  <c r="GE16" i="8" s="1"/>
  <c r="GD17" i="8"/>
  <c r="GE17" i="8" s="1"/>
  <c r="GD18" i="8"/>
  <c r="GE18" i="8" s="1"/>
  <c r="GD9" i="8"/>
  <c r="GE9" i="8" s="1"/>
  <c r="FW10" i="8"/>
  <c r="FX10" i="8" s="1"/>
  <c r="FW11" i="8"/>
  <c r="FX11" i="8" s="1"/>
  <c r="FW12" i="8"/>
  <c r="FX12" i="8" s="1"/>
  <c r="FW13" i="8"/>
  <c r="FX13" i="8" s="1"/>
  <c r="FW14" i="8"/>
  <c r="FX14" i="8" s="1"/>
  <c r="FW15" i="8"/>
  <c r="FX15" i="8" s="1"/>
  <c r="FW16" i="8"/>
  <c r="FX16" i="8" s="1"/>
  <c r="FW17" i="8"/>
  <c r="FX17" i="8" s="1"/>
  <c r="FW18" i="8"/>
  <c r="FX18" i="8" s="1"/>
  <c r="FW9" i="8"/>
  <c r="FV9" i="8" s="1"/>
  <c r="FV10" i="8"/>
  <c r="FV11" i="8"/>
  <c r="FV12" i="8"/>
  <c r="FV13" i="8"/>
  <c r="FV14" i="8"/>
  <c r="GY14" i="8" s="1"/>
  <c r="CX14" i="8" s="1"/>
  <c r="FV15" i="8"/>
  <c r="GY15" i="8" s="1"/>
  <c r="CX15" i="8" s="1"/>
  <c r="FV16" i="8"/>
  <c r="GY16" i="8" s="1"/>
  <c r="CX16" i="8" s="1"/>
  <c r="FV17" i="8"/>
  <c r="FV18" i="8"/>
  <c r="GY18" i="8" s="1"/>
  <c r="FR10" i="8"/>
  <c r="FS10" i="8" s="1"/>
  <c r="FR11" i="8"/>
  <c r="FS11" i="8" s="1"/>
  <c r="FR12" i="8"/>
  <c r="FR13" i="8"/>
  <c r="FR14" i="8"/>
  <c r="FR15" i="8"/>
  <c r="FR16" i="8"/>
  <c r="FR17" i="8"/>
  <c r="FR18" i="8"/>
  <c r="FG10" i="8"/>
  <c r="FG11" i="8"/>
  <c r="FG12" i="8"/>
  <c r="FG13" i="8"/>
  <c r="FG14" i="8"/>
  <c r="FG16" i="8"/>
  <c r="FG17" i="8"/>
  <c r="FG18" i="8"/>
  <c r="FI18" i="8" s="1"/>
  <c r="FH10" i="8"/>
  <c r="FH11" i="8"/>
  <c r="FH12" i="8"/>
  <c r="FH13" i="8"/>
  <c r="FH14" i="8"/>
  <c r="FH15" i="8"/>
  <c r="FG15" i="8" s="1"/>
  <c r="FH16" i="8"/>
  <c r="FH17" i="8"/>
  <c r="FH18" i="8"/>
  <c r="FH9" i="8"/>
  <c r="FG9" i="8" s="1"/>
  <c r="FI9" i="8" s="1"/>
  <c r="FA10" i="8"/>
  <c r="FB10" i="8" s="1"/>
  <c r="FA11" i="8"/>
  <c r="FB11" i="8" s="1"/>
  <c r="FA12" i="8"/>
  <c r="FB12" i="8" s="1"/>
  <c r="FA13" i="8"/>
  <c r="EZ13" i="8" s="1"/>
  <c r="FA14" i="8"/>
  <c r="FB14" i="8" s="1"/>
  <c r="FA15" i="8"/>
  <c r="EZ15" i="8" s="1"/>
  <c r="FA16" i="8"/>
  <c r="FB16" i="8" s="1"/>
  <c r="FA17" i="8"/>
  <c r="EZ17" i="8" s="1"/>
  <c r="FA18" i="8"/>
  <c r="FB18" i="8" s="1"/>
  <c r="FA9" i="8"/>
  <c r="EZ9" i="8" s="1"/>
  <c r="FC9" i="8" s="1"/>
  <c r="ES10" i="8"/>
  <c r="ES11" i="8"/>
  <c r="ES12" i="8"/>
  <c r="ES13" i="8"/>
  <c r="ES14" i="8"/>
  <c r="ES15" i="8"/>
  <c r="ES16" i="8"/>
  <c r="ES17" i="8"/>
  <c r="ES18" i="8"/>
  <c r="ES9" i="8"/>
  <c r="ET10" i="8"/>
  <c r="EU10" i="8" s="1"/>
  <c r="ET11" i="8"/>
  <c r="EU11" i="8" s="1"/>
  <c r="ET12" i="8"/>
  <c r="EU12" i="8" s="1"/>
  <c r="ET13" i="8"/>
  <c r="EU13" i="8" s="1"/>
  <c r="ET14" i="8"/>
  <c r="EU14" i="8" s="1"/>
  <c r="ET15" i="8"/>
  <c r="EU15" i="8" s="1"/>
  <c r="ET16" i="8"/>
  <c r="EU16" i="8" s="1"/>
  <c r="ET17" i="8"/>
  <c r="EU17" i="8" s="1"/>
  <c r="ET18" i="8"/>
  <c r="EU18" i="8" s="1"/>
  <c r="ET9" i="8"/>
  <c r="EU9" i="8" s="1"/>
  <c r="EJ10" i="8"/>
  <c r="EJ11" i="8"/>
  <c r="EJ12" i="8"/>
  <c r="EJ13" i="8"/>
  <c r="EJ14" i="8"/>
  <c r="EJ15" i="8"/>
  <c r="EJ16" i="8"/>
  <c r="EJ17" i="8"/>
  <c r="EJ18" i="8"/>
  <c r="EJ9" i="8"/>
  <c r="EI10" i="8"/>
  <c r="EI11" i="8"/>
  <c r="EH11" i="8" s="1"/>
  <c r="DX11" i="8" s="1"/>
  <c r="EI12" i="8"/>
  <c r="EI13" i="8"/>
  <c r="EI14" i="8"/>
  <c r="EI15" i="8"/>
  <c r="EI16" i="8"/>
  <c r="EI17" i="8"/>
  <c r="EI18" i="8"/>
  <c r="EH10" i="8"/>
  <c r="EH12" i="8"/>
  <c r="EH13" i="8"/>
  <c r="EH14" i="8"/>
  <c r="EH15" i="8"/>
  <c r="EH16" i="8"/>
  <c r="EH17" i="8"/>
  <c r="EH18" i="8"/>
  <c r="EH9" i="8"/>
  <c r="EI9" i="8"/>
  <c r="EC10" i="8"/>
  <c r="EC11" i="8"/>
  <c r="EC12" i="8"/>
  <c r="EC13" i="8"/>
  <c r="EC14" i="8"/>
  <c r="EC15" i="8"/>
  <c r="EC16" i="8"/>
  <c r="EC17" i="8"/>
  <c r="EC18" i="8"/>
  <c r="EC9" i="8"/>
  <c r="EA10" i="8"/>
  <c r="EA11" i="8"/>
  <c r="EA12" i="8"/>
  <c r="EA13" i="8"/>
  <c r="EA14" i="8"/>
  <c r="EA15" i="8"/>
  <c r="EA16" i="8"/>
  <c r="EA17" i="8"/>
  <c r="EA18" i="8"/>
  <c r="EB10" i="8"/>
  <c r="EB11" i="8"/>
  <c r="EB12" i="8"/>
  <c r="EB13" i="8"/>
  <c r="EB14" i="8"/>
  <c r="EB15" i="8"/>
  <c r="EB16" i="8"/>
  <c r="EB17" i="8"/>
  <c r="EB18" i="8"/>
  <c r="EB9" i="8"/>
  <c r="EA9" i="8" s="1"/>
  <c r="ED9" i="8" s="1"/>
  <c r="DT10" i="8"/>
  <c r="DT11" i="8"/>
  <c r="DT12" i="8"/>
  <c r="DW12" i="8" s="1"/>
  <c r="DT13" i="8"/>
  <c r="DT14" i="8"/>
  <c r="DT15" i="8"/>
  <c r="DT16" i="8"/>
  <c r="DT17" i="8"/>
  <c r="DX17" i="8" s="1"/>
  <c r="DT18" i="8"/>
  <c r="DX18" i="8" s="1"/>
  <c r="DT9" i="8"/>
  <c r="DU9" i="8"/>
  <c r="DW9" i="8" s="1"/>
  <c r="DV9" i="8"/>
  <c r="CP14" i="8" l="1"/>
  <c r="CV14" i="8" s="1"/>
  <c r="CO14" i="8"/>
  <c r="FI13" i="8"/>
  <c r="CO13" i="8"/>
  <c r="CP13" i="8"/>
  <c r="CV13" i="8" s="1"/>
  <c r="BF13" i="8"/>
  <c r="BH13" i="8" s="1"/>
  <c r="FI12" i="8"/>
  <c r="BF12" i="8"/>
  <c r="BH12" i="8" s="1"/>
  <c r="FI11" i="8"/>
  <c r="CP11" i="8"/>
  <c r="CO11" i="8"/>
  <c r="BF11" i="8"/>
  <c r="BH11" i="8" s="1"/>
  <c r="FI17" i="8"/>
  <c r="CP17" i="8"/>
  <c r="CO17" i="8"/>
  <c r="BF17" i="8"/>
  <c r="BH17" i="8" s="1"/>
  <c r="FI16" i="8"/>
  <c r="CO16" i="8"/>
  <c r="CP16" i="8"/>
  <c r="BF16" i="8"/>
  <c r="BH16" i="8" s="1"/>
  <c r="FI15" i="8"/>
  <c r="CP15" i="8"/>
  <c r="CV15" i="8" s="1"/>
  <c r="CO15" i="8"/>
  <c r="BF15" i="8"/>
  <c r="BH15" i="8" s="1"/>
  <c r="DX12" i="8"/>
  <c r="FI10" i="8"/>
  <c r="BF10" i="8"/>
  <c r="BH10" i="8" s="1"/>
  <c r="BF14" i="8"/>
  <c r="BH14" i="8" s="1"/>
  <c r="DX10" i="8"/>
  <c r="FI14" i="8"/>
  <c r="DX14" i="8"/>
  <c r="DX13" i="8"/>
  <c r="GM17" i="8"/>
  <c r="GN17" i="8"/>
  <c r="GM13" i="8"/>
  <c r="GN13" i="8"/>
  <c r="GN16" i="8"/>
  <c r="GM16" i="8"/>
  <c r="GN12" i="8"/>
  <c r="GM12" i="8"/>
  <c r="DX16" i="8"/>
  <c r="GC12" i="8"/>
  <c r="GY12" i="8" s="1"/>
  <c r="CX12" i="8" s="1"/>
  <c r="GM15" i="8"/>
  <c r="GN15" i="8"/>
  <c r="GM11" i="8"/>
  <c r="GN11" i="8"/>
  <c r="DX15" i="8"/>
  <c r="GQ17" i="8"/>
  <c r="GY17" i="8"/>
  <c r="CX17" i="8" s="1"/>
  <c r="GQ13" i="8"/>
  <c r="GY13" i="8"/>
  <c r="CX13" i="8" s="1"/>
  <c r="GM18" i="8"/>
  <c r="GN18" i="8"/>
  <c r="GM14" i="8"/>
  <c r="GN14" i="8"/>
  <c r="GN10" i="8"/>
  <c r="GM10" i="8"/>
  <c r="DW10" i="8"/>
  <c r="GR16" i="8"/>
  <c r="GR12" i="8"/>
  <c r="FB15" i="8"/>
  <c r="GR15" i="8"/>
  <c r="GR11" i="8"/>
  <c r="EZ16" i="8"/>
  <c r="GQ16" i="8"/>
  <c r="GQ12" i="8"/>
  <c r="EZ12" i="8"/>
  <c r="GQ15" i="8"/>
  <c r="EZ11" i="8"/>
  <c r="GQ18" i="8"/>
  <c r="GQ14" i="8"/>
  <c r="GQ10" i="8"/>
  <c r="GQ11" i="8"/>
  <c r="FB17" i="8"/>
  <c r="FB13" i="8"/>
  <c r="GJ9" i="8"/>
  <c r="GR17" i="8"/>
  <c r="GR13" i="8"/>
  <c r="EZ14" i="8"/>
  <c r="EZ10" i="8"/>
  <c r="GR18" i="8"/>
  <c r="GR14" i="8"/>
  <c r="GR10" i="8"/>
  <c r="EZ18" i="8"/>
  <c r="FX9" i="8"/>
  <c r="FB9" i="8"/>
  <c r="U19" i="7"/>
  <c r="S19" i="7"/>
  <c r="GN9" i="8" l="1"/>
  <c r="GM9" i="8"/>
  <c r="B8" i="7"/>
  <c r="B9" i="7"/>
  <c r="GR9" i="8"/>
  <c r="GQ9" i="8"/>
  <c r="FC10" i="8"/>
  <c r="FU10" i="8"/>
  <c r="BN10" i="8" s="1"/>
  <c r="FY10" i="8"/>
  <c r="GB10" i="8"/>
  <c r="GT10" i="8"/>
  <c r="GU10" i="8"/>
  <c r="GY10" i="8" s="1"/>
  <c r="CX10" i="8" s="1"/>
  <c r="GX10" i="8"/>
  <c r="CW10" i="8" s="1"/>
  <c r="HB10" i="8"/>
  <c r="EW11" i="8"/>
  <c r="FC11" i="8"/>
  <c r="FU11" i="8"/>
  <c r="BN11" i="8" s="1"/>
  <c r="FZ11" i="8"/>
  <c r="GB11" i="8"/>
  <c r="GS11" i="8"/>
  <c r="GU11" i="8"/>
  <c r="GY11" i="8" s="1"/>
  <c r="CX11" i="8" s="1"/>
  <c r="GX11" i="8"/>
  <c r="CW11" i="8" s="1"/>
  <c r="HB11" i="8"/>
  <c r="EW12" i="8"/>
  <c r="FC12" i="8"/>
  <c r="FU12" i="8"/>
  <c r="FY12" i="8"/>
  <c r="GB12" i="8"/>
  <c r="GU12" i="8"/>
  <c r="GX12" i="8"/>
  <c r="CW12" i="8" s="1"/>
  <c r="HB12" i="8"/>
  <c r="EW13" i="8"/>
  <c r="EX13" i="8"/>
  <c r="EY13" i="8"/>
  <c r="FC13" i="8"/>
  <c r="EK13" i="8"/>
  <c r="FU13" i="8"/>
  <c r="BN13" i="8" s="1"/>
  <c r="GB13" i="8"/>
  <c r="GU13" i="8"/>
  <c r="GX13" i="8"/>
  <c r="CW13" i="8" s="1"/>
  <c r="HB13" i="8"/>
  <c r="EW14" i="8"/>
  <c r="EX14" i="8"/>
  <c r="EY14" i="8"/>
  <c r="FC14" i="8"/>
  <c r="EL14" i="8"/>
  <c r="FU14" i="8"/>
  <c r="BN14" i="8" s="1"/>
  <c r="FZ14" i="8"/>
  <c r="GB14" i="8"/>
  <c r="GT14" i="8"/>
  <c r="GU14" i="8"/>
  <c r="GX14" i="8"/>
  <c r="CW14" i="8" s="1"/>
  <c r="HB14" i="8"/>
  <c r="EW15" i="8"/>
  <c r="EX15" i="8"/>
  <c r="EY15" i="8"/>
  <c r="FU15" i="8"/>
  <c r="BN15" i="8" s="1"/>
  <c r="FZ15" i="8"/>
  <c r="GB15" i="8"/>
  <c r="GU15" i="8"/>
  <c r="GX15" i="8"/>
  <c r="CW15" i="8" s="1"/>
  <c r="HB15" i="8"/>
  <c r="EW16" i="8"/>
  <c r="EX16" i="8"/>
  <c r="EY16" i="8"/>
  <c r="FD16" i="8"/>
  <c r="FU16" i="8"/>
  <c r="BN16" i="8" s="1"/>
  <c r="FY16" i="8"/>
  <c r="GB16" i="8"/>
  <c r="GU16" i="8"/>
  <c r="GX16" i="8"/>
  <c r="CW16" i="8" s="1"/>
  <c r="HB16" i="8"/>
  <c r="EW17" i="8"/>
  <c r="EX17" i="8"/>
  <c r="EY17" i="8"/>
  <c r="FD17" i="8"/>
  <c r="FU17" i="8"/>
  <c r="BN17" i="8" s="1"/>
  <c r="FY17" i="8"/>
  <c r="GB17" i="8"/>
  <c r="GG17" i="8"/>
  <c r="GU17" i="8"/>
  <c r="GX17" i="8"/>
  <c r="CW17" i="8" s="1"/>
  <c r="HB17" i="8"/>
  <c r="EW18" i="8"/>
  <c r="EX18" i="8"/>
  <c r="EY18" i="8"/>
  <c r="FD18" i="8"/>
  <c r="ED18" i="8"/>
  <c r="FU18" i="8"/>
  <c r="BN18" i="8" s="1"/>
  <c r="FY18" i="8"/>
  <c r="GB18" i="8"/>
  <c r="GU18" i="8"/>
  <c r="GX18" i="8"/>
  <c r="CW18" i="8" s="1"/>
  <c r="HB18" i="8"/>
  <c r="GW14" i="8"/>
  <c r="GW15" i="8"/>
  <c r="GW16" i="8"/>
  <c r="GW17" i="8"/>
  <c r="GW18" i="8"/>
  <c r="CF15" i="8"/>
  <c r="CF16" i="8"/>
  <c r="CF17" i="8"/>
  <c r="CF18" i="8"/>
  <c r="CF9" i="8"/>
  <c r="CF10" i="8"/>
  <c r="CF11" i="8"/>
  <c r="BN12" i="8"/>
  <c r="FU9" i="8"/>
  <c r="BN9" i="8" s="1"/>
  <c r="FD9" i="8"/>
  <c r="GZ10" i="8"/>
  <c r="GX9" i="8"/>
  <c r="CW9" i="8" s="1"/>
  <c r="GU9" i="8"/>
  <c r="GV9" i="8" s="1"/>
  <c r="FR9" i="8"/>
  <c r="N2" i="7"/>
  <c r="GF9" i="8"/>
  <c r="FY9" i="8"/>
  <c r="G2" i="7"/>
  <c r="HB9" i="8"/>
  <c r="GB9" i="8"/>
  <c r="EK16" i="8"/>
  <c r="FZ18" i="8"/>
  <c r="EO15" i="8"/>
  <c r="EL15" i="8"/>
  <c r="GF10" i="8"/>
  <c r="GG15" i="8"/>
  <c r="FN12" i="8"/>
  <c r="EL11" i="8"/>
  <c r="EK11" i="8"/>
  <c r="FJ11" i="8"/>
  <c r="BG12" i="8"/>
  <c r="FD11" i="8"/>
  <c r="BG11" i="8"/>
  <c r="EV12" i="8"/>
  <c r="EY12" i="8" s="1"/>
  <c r="GG11" i="8"/>
  <c r="EL13" i="8"/>
  <c r="GS10" i="8"/>
  <c r="EK14" i="8"/>
  <c r="EV14" i="8"/>
  <c r="EP18" i="8"/>
  <c r="FD12" i="8"/>
  <c r="FO12" i="8"/>
  <c r="FJ12" i="8"/>
  <c r="EP14" i="8"/>
  <c r="EK18" i="8"/>
  <c r="GZ12" i="8"/>
  <c r="GS12" i="8"/>
  <c r="FN16" i="8"/>
  <c r="FZ10" i="8"/>
  <c r="GT11" i="8"/>
  <c r="GW11" i="8"/>
  <c r="GG12" i="8"/>
  <c r="FC18" i="8"/>
  <c r="FN14" i="8"/>
  <c r="FJ16" i="8"/>
  <c r="GF11" i="8"/>
  <c r="FY15" i="8"/>
  <c r="FZ17" i="8"/>
  <c r="ED14" i="8"/>
  <c r="FZ16" i="8"/>
  <c r="EE11" i="8"/>
  <c r="ED11" i="8"/>
  <c r="EV17" i="8"/>
  <c r="FK16" i="8"/>
  <c r="EE18" i="8"/>
  <c r="FZ9" i="8"/>
  <c r="GF15" i="8"/>
  <c r="GF14" i="8"/>
  <c r="Z10" i="7"/>
  <c r="FO16" i="8"/>
  <c r="FC16" i="8"/>
  <c r="EV18" i="8"/>
  <c r="ED15" i="8"/>
  <c r="FY14" i="8"/>
  <c r="FD14" i="8"/>
  <c r="EE14" i="8"/>
  <c r="GF12" i="8"/>
  <c r="GG18" i="8"/>
  <c r="GG14" i="8"/>
  <c r="GG10" i="8"/>
  <c r="GP13" i="8"/>
  <c r="FJ13" i="8"/>
  <c r="FY13" i="8"/>
  <c r="FZ13" i="8"/>
  <c r="EE13" i="8"/>
  <c r="ED13" i="8"/>
  <c r="FD15" i="8"/>
  <c r="FO15" i="8"/>
  <c r="FN15" i="8"/>
  <c r="FJ15" i="8"/>
  <c r="FC15" i="8"/>
  <c r="FE15" i="8" s="1"/>
  <c r="GT15" i="8"/>
  <c r="GS15" i="8"/>
  <c r="FO18" i="8"/>
  <c r="GO16" i="8"/>
  <c r="GF16" i="8"/>
  <c r="FJ18" i="8"/>
  <c r="FC17" i="8"/>
  <c r="GG16" i="8"/>
  <c r="FK18" i="8"/>
  <c r="FK15" i="8"/>
  <c r="FK12" i="8"/>
  <c r="GF18" i="8"/>
  <c r="GZ15" i="8"/>
  <c r="FZ12" i="8"/>
  <c r="FY11" i="8"/>
  <c r="EP11" i="8"/>
  <c r="EE15" i="8"/>
  <c r="EV15" i="8"/>
  <c r="FJ14" i="8"/>
  <c r="BG18" i="8"/>
  <c r="FT18" i="8" s="1"/>
  <c r="BG15" i="8"/>
  <c r="BG14" i="8"/>
  <c r="FO14" i="8"/>
  <c r="FQ14" i="8" s="1"/>
  <c r="EV13" i="8"/>
  <c r="EE12" i="8"/>
  <c r="FK11" i="8"/>
  <c r="EV11" i="8"/>
  <c r="EY11" i="8" s="1"/>
  <c r="EK15" i="8"/>
  <c r="BM15" i="8" l="1"/>
  <c r="FT15" i="8" s="1"/>
  <c r="BM12" i="8"/>
  <c r="FT12" i="8" s="1"/>
  <c r="BM14" i="8"/>
  <c r="FT14" i="8" s="1"/>
  <c r="BM11" i="8"/>
  <c r="FT11" i="8" s="1"/>
  <c r="EX12" i="8"/>
  <c r="DF18" i="8"/>
  <c r="GZ18" i="8"/>
  <c r="GY9" i="8"/>
  <c r="EX11" i="8"/>
  <c r="DE16" i="8"/>
  <c r="GZ16" i="8"/>
  <c r="CY14" i="8"/>
  <c r="GZ14" i="8"/>
  <c r="DE11" i="8"/>
  <c r="GZ11" i="8"/>
  <c r="GW10" i="8"/>
  <c r="FS9" i="8"/>
  <c r="GV18" i="8"/>
  <c r="HA18" i="8"/>
  <c r="GV17" i="8"/>
  <c r="HA17" i="8"/>
  <c r="GV16" i="8"/>
  <c r="HA16" i="8"/>
  <c r="GV11" i="8"/>
  <c r="HA11" i="8"/>
  <c r="GV10" i="8"/>
  <c r="HA10" i="8"/>
  <c r="GV14" i="8"/>
  <c r="HA14" i="8"/>
  <c r="GV12" i="8"/>
  <c r="HA12" i="8"/>
  <c r="GV13" i="8"/>
  <c r="HA13" i="8"/>
  <c r="GV15" i="8"/>
  <c r="HA15" i="8"/>
  <c r="FL12" i="8"/>
  <c r="GI12" i="8"/>
  <c r="DF12" i="8" s="1"/>
  <c r="GH11" i="8"/>
  <c r="GS14" i="8"/>
  <c r="GS9" i="8"/>
  <c r="GG9" i="8"/>
  <c r="GH9" i="8" s="1"/>
  <c r="GT9" i="8"/>
  <c r="GO9" i="8"/>
  <c r="BG16" i="8"/>
  <c r="FT16" i="8" s="1"/>
  <c r="FN10" i="8"/>
  <c r="EO18" i="8"/>
  <c r="EQ18" i="8" s="1"/>
  <c r="EO16" i="8"/>
  <c r="EO14" i="8"/>
  <c r="ER14" i="8" s="1"/>
  <c r="EL12" i="8"/>
  <c r="DZ12" i="8"/>
  <c r="EO10" i="8"/>
  <c r="EP17" i="8"/>
  <c r="EP15" i="8"/>
  <c r="ER15" i="8" s="1"/>
  <c r="DY15" i="8"/>
  <c r="EO13" i="8"/>
  <c r="DZ13" i="8"/>
  <c r="EO11" i="8"/>
  <c r="EQ11" i="8" s="1"/>
  <c r="DY11" i="8"/>
  <c r="EO9" i="8"/>
  <c r="DX9" i="8"/>
  <c r="GO18" i="8"/>
  <c r="FP12" i="8"/>
  <c r="J8" i="7"/>
  <c r="I9" i="7"/>
  <c r="O9" i="7"/>
  <c r="L9" i="7"/>
  <c r="O8" i="7"/>
  <c r="I8" i="7"/>
  <c r="GI18" i="8"/>
  <c r="GH14" i="8"/>
  <c r="GH12" i="8"/>
  <c r="GI15" i="8"/>
  <c r="GW12" i="8"/>
  <c r="FQ16" i="8"/>
  <c r="FK14" i="8"/>
  <c r="FM14" i="8" s="1"/>
  <c r="FN11" i="8"/>
  <c r="FL15" i="8"/>
  <c r="FL16" i="8"/>
  <c r="FL11" i="8"/>
  <c r="FP16" i="8"/>
  <c r="FM15" i="8"/>
  <c r="FL18" i="8"/>
  <c r="FJ17" i="8"/>
  <c r="FN17" i="8"/>
  <c r="FO17" i="8"/>
  <c r="FK17" i="8"/>
  <c r="BG17" i="8"/>
  <c r="FD13" i="8"/>
  <c r="FE13" i="8" s="1"/>
  <c r="FN13" i="8"/>
  <c r="FO13" i="8"/>
  <c r="BG13" i="8"/>
  <c r="FT13" i="8" s="1"/>
  <c r="FK13" i="8"/>
  <c r="FM13" i="8" s="1"/>
  <c r="EO17" i="8"/>
  <c r="EQ17" i="8" s="1"/>
  <c r="GP18" i="8"/>
  <c r="ED17" i="8"/>
  <c r="EE17" i="8"/>
  <c r="EP13" i="8"/>
  <c r="EL16" i="8"/>
  <c r="EM16" i="8" s="1"/>
  <c r="EM15" i="8"/>
  <c r="EL17" i="8"/>
  <c r="EK17" i="8"/>
  <c r="GP17" i="8"/>
  <c r="GO12" i="8"/>
  <c r="GI14" i="8"/>
  <c r="GF13" i="8"/>
  <c r="GZ13" i="8"/>
  <c r="GG13" i="8"/>
  <c r="GA13" i="8"/>
  <c r="GI10" i="8"/>
  <c r="GF17" i="8"/>
  <c r="GI17" i="8" s="1"/>
  <c r="GP12" i="8"/>
  <c r="GH10" i="8"/>
  <c r="FM16" i="8"/>
  <c r="FM11" i="8"/>
  <c r="FN18" i="8"/>
  <c r="FP18" i="8" s="1"/>
  <c r="FQ15" i="8"/>
  <c r="FE18" i="8"/>
  <c r="FQ12" i="8"/>
  <c r="FM18" i="8"/>
  <c r="FM12" i="8"/>
  <c r="FP15" i="8"/>
  <c r="EG14" i="8"/>
  <c r="EL18" i="8"/>
  <c r="EN18" i="8" s="1"/>
  <c r="EN11" i="8"/>
  <c r="EO12" i="8"/>
  <c r="EK12" i="8"/>
  <c r="EP16" i="8"/>
  <c r="EQ16" i="8" s="1"/>
  <c r="EP12" i="8"/>
  <c r="GZ9" i="8"/>
  <c r="GP16" i="8"/>
  <c r="GH16" i="8"/>
  <c r="GH18" i="8"/>
  <c r="GT16" i="8"/>
  <c r="GP10" i="8"/>
  <c r="GO17" i="8"/>
  <c r="FF9" i="8"/>
  <c r="EP10" i="8"/>
  <c r="EL10" i="8"/>
  <c r="EK10" i="8"/>
  <c r="EG18" i="8"/>
  <c r="FF15" i="8"/>
  <c r="EE16" i="8"/>
  <c r="EV16" i="8"/>
  <c r="ED16" i="8"/>
  <c r="ED12" i="8"/>
  <c r="EG12" i="8" s="1"/>
  <c r="DZ17" i="8"/>
  <c r="FJ10" i="8"/>
  <c r="FK10" i="8"/>
  <c r="FO10" i="8"/>
  <c r="DE12" i="8"/>
  <c r="DF16" i="8"/>
  <c r="GO11" i="8"/>
  <c r="DF11" i="8"/>
  <c r="GT18" i="8"/>
  <c r="GT17" i="8"/>
  <c r="GT13" i="8"/>
  <c r="GP11" i="8"/>
  <c r="GO14" i="8"/>
  <c r="GO10" i="8"/>
  <c r="DE14" i="8"/>
  <c r="GS18" i="8"/>
  <c r="GS17" i="8"/>
  <c r="GP15" i="8"/>
  <c r="GS13" i="8"/>
  <c r="GO15" i="8"/>
  <c r="CY15" i="8"/>
  <c r="CZ15" i="8" s="1"/>
  <c r="CY12" i="8"/>
  <c r="DF10" i="8"/>
  <c r="DE10" i="8"/>
  <c r="CY10" i="8"/>
  <c r="CY11" i="8"/>
  <c r="CZ11" i="8" s="1"/>
  <c r="DF15" i="8"/>
  <c r="U20" i="7"/>
  <c r="U21" i="7" s="1"/>
  <c r="S20" i="7"/>
  <c r="S21" i="7" s="1"/>
  <c r="FJ9" i="8"/>
  <c r="FK9" i="8"/>
  <c r="FO9" i="8"/>
  <c r="EW10" i="8"/>
  <c r="EW9" i="8"/>
  <c r="FD10" i="8"/>
  <c r="FE10" i="8" s="1"/>
  <c r="BG10" i="8"/>
  <c r="EV10" i="8"/>
  <c r="EV9" i="8"/>
  <c r="FN9" i="8"/>
  <c r="EK9" i="8"/>
  <c r="EP9" i="8"/>
  <c r="EQ9" i="8" s="1"/>
  <c r="EL9" i="8"/>
  <c r="FP14" i="8"/>
  <c r="EM11" i="8"/>
  <c r="EN15" i="8"/>
  <c r="CY16" i="8"/>
  <c r="CZ16" i="8" s="1"/>
  <c r="DE18" i="8"/>
  <c r="FF18" i="8"/>
  <c r="CY18" i="8"/>
  <c r="CZ18" i="8" s="1"/>
  <c r="GH15" i="8"/>
  <c r="DZ11" i="8"/>
  <c r="GA9" i="8"/>
  <c r="GI16" i="8"/>
  <c r="GA16" i="8"/>
  <c r="GA14" i="8"/>
  <c r="GA11" i="8"/>
  <c r="EN13" i="8"/>
  <c r="EF18" i="8"/>
  <c r="GT12" i="8"/>
  <c r="DE15" i="8"/>
  <c r="EG13" i="8"/>
  <c r="GI11" i="8"/>
  <c r="BG9" i="8"/>
  <c r="GS16" i="8"/>
  <c r="GO13" i="8"/>
  <c r="GA18" i="8"/>
  <c r="EE9" i="8"/>
  <c r="EF13" i="8"/>
  <c r="ER18" i="8"/>
  <c r="EG11" i="8"/>
  <c r="FF17" i="8"/>
  <c r="FE17" i="8"/>
  <c r="FE11" i="8"/>
  <c r="FF11" i="8"/>
  <c r="GA12" i="8"/>
  <c r="EM14" i="8"/>
  <c r="FE16" i="8"/>
  <c r="FO11" i="8"/>
  <c r="ED10" i="8"/>
  <c r="GA10" i="8"/>
  <c r="GA17" i="8"/>
  <c r="GA15" i="8"/>
  <c r="FE14" i="8"/>
  <c r="EN14" i="8"/>
  <c r="EF11" i="8"/>
  <c r="EF15" i="8"/>
  <c r="EM13" i="8"/>
  <c r="EQ15" i="8"/>
  <c r="FE12" i="8"/>
  <c r="FF12" i="8"/>
  <c r="FF16" i="8"/>
  <c r="EE10" i="8"/>
  <c r="FF14" i="8"/>
  <c r="EF14" i="8"/>
  <c r="I19" i="7"/>
  <c r="EG15" i="8"/>
  <c r="BM17" i="8" l="1"/>
  <c r="FT17" i="8" s="1"/>
  <c r="CZ14" i="8"/>
  <c r="GP14" i="8"/>
  <c r="DF14" i="8" s="1"/>
  <c r="BM9" i="8"/>
  <c r="FT9" i="8" s="1"/>
  <c r="J9" i="7" s="1"/>
  <c r="J10" i="7" s="1"/>
  <c r="M9" i="7"/>
  <c r="BM10" i="8"/>
  <c r="FT10" i="8" s="1"/>
  <c r="HA9" i="8"/>
  <c r="O15" i="7" s="1"/>
  <c r="CX9" i="8"/>
  <c r="EN12" i="8"/>
  <c r="ER13" i="8"/>
  <c r="CY17" i="8"/>
  <c r="GZ17" i="8"/>
  <c r="E9" i="7" s="1"/>
  <c r="G9" i="7" s="1"/>
  <c r="C15" i="7" s="1"/>
  <c r="ER11" i="8"/>
  <c r="CZ12" i="8"/>
  <c r="FP10" i="8"/>
  <c r="GW13" i="8"/>
  <c r="E15" i="7"/>
  <c r="G15" i="7" s="1"/>
  <c r="L8" i="7"/>
  <c r="L10" i="7" s="1"/>
  <c r="L14" i="7"/>
  <c r="N14" i="7"/>
  <c r="L15" i="7"/>
  <c r="M14" i="7"/>
  <c r="ER10" i="8"/>
  <c r="FL13" i="8"/>
  <c r="FF13" i="8"/>
  <c r="EQ14" i="8"/>
  <c r="GI13" i="8"/>
  <c r="DF13" i="8" s="1"/>
  <c r="GH13" i="8"/>
  <c r="DE13" i="8" s="1"/>
  <c r="FL17" i="8"/>
  <c r="FQ18" i="8"/>
  <c r="GP9" i="8"/>
  <c r="DF9" i="8" s="1"/>
  <c r="EN17" i="8"/>
  <c r="GW9" i="8"/>
  <c r="GI9" i="8"/>
  <c r="GH17" i="8"/>
  <c r="I10" i="7"/>
  <c r="FE9" i="8"/>
  <c r="FQ11" i="8"/>
  <c r="EQ10" i="8"/>
  <c r="DZ15" i="8"/>
  <c r="ER17" i="8"/>
  <c r="O10" i="7"/>
  <c r="EF17" i="8"/>
  <c r="EQ13" i="8"/>
  <c r="FL10" i="8"/>
  <c r="EM18" i="8"/>
  <c r="CY9" i="8"/>
  <c r="DE17" i="8"/>
  <c r="CY13" i="8"/>
  <c r="FL14" i="8"/>
  <c r="FM17" i="8"/>
  <c r="FQ13" i="8"/>
  <c r="FP13" i="8"/>
  <c r="FP17" i="8"/>
  <c r="FQ17" i="8"/>
  <c r="DY12" i="8"/>
  <c r="EG17" i="8"/>
  <c r="EN16" i="8"/>
  <c r="EM17" i="8"/>
  <c r="EF12" i="8"/>
  <c r="DY14" i="8"/>
  <c r="ER16" i="8"/>
  <c r="ER12" i="8"/>
  <c r="DF17" i="8"/>
  <c r="DE9" i="8"/>
  <c r="FF10" i="8"/>
  <c r="EN9" i="8"/>
  <c r="EM10" i="8"/>
  <c r="EQ12" i="8"/>
  <c r="DY13" i="8"/>
  <c r="EM12" i="8"/>
  <c r="ER9" i="8"/>
  <c r="DY17" i="8"/>
  <c r="EM9" i="8"/>
  <c r="DY16" i="8"/>
  <c r="EN10" i="8"/>
  <c r="DZ14" i="8"/>
  <c r="FL9" i="8"/>
  <c r="DA11" i="8"/>
  <c r="EG16" i="8"/>
  <c r="DZ16" i="8"/>
  <c r="DA15" i="8"/>
  <c r="DY18" i="8"/>
  <c r="DZ18" i="8"/>
  <c r="EF16" i="8"/>
  <c r="FQ9" i="8"/>
  <c r="FQ10" i="8"/>
  <c r="EX9" i="8"/>
  <c r="EY9" i="8"/>
  <c r="EX10" i="8"/>
  <c r="EY10" i="8"/>
  <c r="FM10" i="8"/>
  <c r="FP9" i="8"/>
  <c r="FM9" i="8"/>
  <c r="DY9" i="8"/>
  <c r="EF10" i="8"/>
  <c r="EF9" i="8"/>
  <c r="C8" i="7"/>
  <c r="D8" i="7" s="1"/>
  <c r="J14" i="7" s="1"/>
  <c r="Q14" i="7" s="1"/>
  <c r="C9" i="7"/>
  <c r="D9" i="7" s="1"/>
  <c r="J15" i="7" s="1"/>
  <c r="Q15" i="7" s="1"/>
  <c r="FP11" i="8"/>
  <c r="DZ9" i="8"/>
  <c r="EG9" i="8"/>
  <c r="EG10" i="8"/>
  <c r="DZ10" i="8"/>
  <c r="DY10" i="8"/>
  <c r="CZ10" i="8" l="1"/>
  <c r="CZ17" i="8"/>
  <c r="M8" i="7"/>
  <c r="M10" i="7" s="1"/>
  <c r="DH12" i="8"/>
  <c r="E8" i="7"/>
  <c r="E10" i="7" s="1"/>
  <c r="M15" i="7"/>
  <c r="P14" i="7"/>
  <c r="O14" i="7"/>
  <c r="P15" i="7"/>
  <c r="N15" i="7"/>
  <c r="CZ13" i="8"/>
  <c r="DG15" i="8"/>
  <c r="DA14" i="8"/>
  <c r="DG14" i="8" s="1"/>
  <c r="DH15" i="8"/>
  <c r="CZ9" i="8"/>
  <c r="E14" i="7" s="1"/>
  <c r="G14" i="7" s="1"/>
  <c r="DH13" i="8"/>
  <c r="DH17" i="8"/>
  <c r="DA13" i="8"/>
  <c r="DG13" i="8" s="1"/>
  <c r="DA18" i="8"/>
  <c r="DG18" i="8" s="1"/>
  <c r="DH14" i="8"/>
  <c r="DA17" i="8"/>
  <c r="DG17" i="8" s="1"/>
  <c r="DA12" i="8"/>
  <c r="DG12" i="8" s="1"/>
  <c r="DH16" i="8"/>
  <c r="DA16" i="8"/>
  <c r="DG16" i="8" s="1"/>
  <c r="DG11" i="8"/>
  <c r="DH18" i="8"/>
  <c r="DH11" i="8"/>
  <c r="Y9" i="7"/>
  <c r="V9" i="7"/>
  <c r="S9" i="7"/>
  <c r="P9" i="7"/>
  <c r="Y8" i="7"/>
  <c r="V8" i="7"/>
  <c r="V10" i="7" s="1"/>
  <c r="S8" i="7"/>
  <c r="P8" i="7"/>
  <c r="P10" i="7" s="1"/>
  <c r="W9" i="7"/>
  <c r="T9" i="7"/>
  <c r="Q9" i="7"/>
  <c r="W8" i="7"/>
  <c r="T8" i="7"/>
  <c r="Q8" i="7"/>
  <c r="DA9" i="8"/>
  <c r="DA10" i="8"/>
  <c r="G8" i="7" l="1"/>
  <c r="C14" i="7" s="1"/>
  <c r="DG10" i="8"/>
  <c r="DI15" i="8"/>
  <c r="DG9" i="8"/>
  <c r="DI13" i="8"/>
  <c r="DI18" i="8"/>
  <c r="Y10" i="7"/>
  <c r="S10" i="7"/>
  <c r="DI14" i="8"/>
  <c r="DI12" i="8"/>
  <c r="DI17" i="8"/>
  <c r="DI11" i="8"/>
  <c r="DI16" i="8"/>
  <c r="DH10" i="8"/>
  <c r="T10" i="7"/>
  <c r="DH9" i="8"/>
  <c r="Q10" i="7"/>
  <c r="W10" i="7"/>
  <c r="G10" i="7" l="1"/>
  <c r="DI10" i="8"/>
  <c r="DI9" i="8"/>
  <c r="H21" i="7" l="1"/>
</calcChain>
</file>

<file path=xl/sharedStrings.xml><?xml version="1.0" encoding="utf-8"?>
<sst xmlns="http://schemas.openxmlformats.org/spreadsheetml/2006/main" count="722" uniqueCount="257">
  <si>
    <t>จำนวนเงิน</t>
  </si>
  <si>
    <t>เงินที่ใช้เลื่อนขั้น</t>
  </si>
  <si>
    <t>รวม</t>
  </si>
  <si>
    <t>เชี่ยวชาญ</t>
  </si>
  <si>
    <t>ชำนาญการ</t>
  </si>
  <si>
    <t>อัตรา</t>
  </si>
  <si>
    <t>ตำแหน่ง</t>
  </si>
  <si>
    <t>อันดับ</t>
  </si>
  <si>
    <t>ขั้น</t>
  </si>
  <si>
    <t>ที่</t>
  </si>
  <si>
    <t>ว/ด/ป</t>
  </si>
  <si>
    <t>เลื่อนขั้น</t>
  </si>
  <si>
    <t>เงินที่ใช้</t>
  </si>
  <si>
    <t>วงเงิน</t>
  </si>
  <si>
    <t>คศ.</t>
  </si>
  <si>
    <t>เงินเดือน</t>
  </si>
  <si>
    <t>เลื่อน</t>
  </si>
  <si>
    <t>ได้</t>
  </si>
  <si>
    <t>เงิน</t>
  </si>
  <si>
    <t>เดือน</t>
  </si>
  <si>
    <t>จำนวน</t>
  </si>
  <si>
    <t>ที่ได้</t>
  </si>
  <si>
    <t>ขั้นเงิน</t>
  </si>
  <si>
    <t>บาท</t>
  </si>
  <si>
    <t>ที่ใช้</t>
  </si>
  <si>
    <t>ปรับ 8%</t>
  </si>
  <si>
    <t>รวมเงิน</t>
  </si>
  <si>
    <t>โรงเรียน</t>
  </si>
  <si>
    <t>ชื่อ-สกุล</t>
  </si>
  <si>
    <t>เมื่อ</t>
  </si>
  <si>
    <t>วันที่</t>
  </si>
  <si>
    <t>พ.ศ.</t>
  </si>
  <si>
    <t>คศ.ที่</t>
  </si>
  <si>
    <t>วิทยฐานะ</t>
  </si>
  <si>
    <t>พิเศษ</t>
  </si>
  <si>
    <t>เต็มขั้น</t>
  </si>
  <si>
    <t>คำนวณ</t>
  </si>
  <si>
    <t>กลุ่ม/อันดับ</t>
  </si>
  <si>
    <t>หนึ่งขั้น</t>
  </si>
  <si>
    <t>ครึ่งขั้น</t>
  </si>
  <si>
    <t>(อัตรา)</t>
  </si>
  <si>
    <t>ร้อยละ</t>
  </si>
  <si>
    <t>เต็ม</t>
  </si>
  <si>
    <t>ที่ใช้เลื่อน</t>
  </si>
  <si>
    <t>ไม่ได้ขั้น</t>
  </si>
  <si>
    <t>หนึ่งขั้นครึ่ง</t>
  </si>
  <si>
    <t>y</t>
  </si>
  <si>
    <t>ym</t>
  </si>
  <si>
    <t>md</t>
  </si>
  <si>
    <t>วิทย</t>
  </si>
  <si>
    <t>ฐานะ</t>
  </si>
  <si>
    <t>สูตร</t>
  </si>
  <si>
    <t>วัน</t>
  </si>
  <si>
    <t>ปี</t>
  </si>
  <si>
    <t>สูตรการนับระยะเวลา</t>
  </si>
  <si>
    <t>ก่อนเลื่อน</t>
  </si>
  <si>
    <t>หลังเลื่อน</t>
  </si>
  <si>
    <t>อัน</t>
  </si>
  <si>
    <t>ดับ</t>
  </si>
  <si>
    <t>รวมทั้งสิ้น</t>
  </si>
  <si>
    <t>วัน/</t>
  </si>
  <si>
    <t>ค่าครองชีพ</t>
  </si>
  <si>
    <t>วงเงินเลื่อนขั้น</t>
  </si>
  <si>
    <t>อัตราว่าง</t>
  </si>
  <si>
    <t>ผลการเลื่อน</t>
  </si>
  <si>
    <t>อ.ว่าง</t>
  </si>
  <si>
    <t>อัตราที่มีผู้ครอง</t>
  </si>
  <si>
    <t>จำนวนอัตรา</t>
  </si>
  <si>
    <t>จำนวน (ราย)</t>
  </si>
  <si>
    <t>สมาชิก</t>
  </si>
  <si>
    <t>กบข.</t>
  </si>
  <si>
    <t>ชื่อ - สกุล</t>
  </si>
  <si>
    <t>รับโอน/บรรจุแต่งตั้ง/เปลี่ยนสายงาน</t>
  </si>
  <si>
    <t>เหตุที่</t>
  </si>
  <si>
    <t>ออกจาก</t>
  </si>
  <si>
    <t>เข้าสู่</t>
  </si>
  <si>
    <t>สังกัด</t>
  </si>
  <si>
    <t>จังหวัด</t>
  </si>
  <si>
    <t>(เฉพาะตำแหน่งที่เบิกจ่ายจากงบประมาณจากส่วนกลาง)</t>
  </si>
  <si>
    <t>เงินค่าจ้าง</t>
  </si>
  <si>
    <t>ชื่อตำแหน่ง</t>
  </si>
  <si>
    <t>เลขที่</t>
  </si>
  <si>
    <t>ค่าตอบแทน</t>
  </si>
  <si>
    <t>ประเภท</t>
  </si>
  <si>
    <t>สังกัด(อปท.)</t>
  </si>
  <si>
    <t>ครูผู้ช่วย</t>
  </si>
  <si>
    <t>คศ.1</t>
  </si>
  <si>
    <t>คศ.2</t>
  </si>
  <si>
    <t>คศ.3</t>
  </si>
  <si>
    <t>คศ.4</t>
  </si>
  <si>
    <t>เก่า</t>
  </si>
  <si>
    <t>เดิม</t>
  </si>
  <si>
    <t>ปรับ 5%</t>
  </si>
  <si>
    <t>ผู้ครองตำแหน่งปัจจุบัน</t>
  </si>
  <si>
    <t>ชื่อย่อวุฒิการศึกษา</t>
  </si>
  <si>
    <t>เงินเดือนถือจ่าย</t>
  </si>
  <si>
    <t>ย้าย/ลาออก/เสียชีวิต</t>
  </si>
  <si>
    <t>รับโอนมา/บรรจุแต่งตั้ง/เปลี่ยนสายงาน</t>
  </si>
  <si>
    <t>การเลื่อนขั้นครั้งที่ 1 (ก่อนโอน)</t>
  </si>
  <si>
    <t>ขอรับรองว่าข้อมูลดังกล่าวถูกต้องและตรงกับความเป็นจริงทุกประการ</t>
  </si>
  <si>
    <t>ชื่อ</t>
  </si>
  <si>
    <t>(                                                 )</t>
  </si>
  <si>
    <r>
      <rPr>
        <sz val="14"/>
        <color indexed="8"/>
        <rFont val="CordiaUPC"/>
        <family val="2"/>
      </rPr>
      <t xml:space="preserve"> ตำแหน่ง      </t>
    </r>
    <r>
      <rPr>
        <b/>
        <sz val="14"/>
        <color indexed="8"/>
        <rFont val="CordiaUPC"/>
        <family val="2"/>
      </rPr>
      <t>ปลัด อบจ./เทศบาล/อบต.</t>
    </r>
  </si>
  <si>
    <t>บัญชีถือจ่ายเงินค่าตอบแทน พนักงานจ้างตามภารกิจ และพนักงานจ้างทั่วไป</t>
  </si>
  <si>
    <t>(หมวด)</t>
  </si>
  <si>
    <t>ครึ่งปีแรก</t>
  </si>
  <si>
    <t>ครึ่งปีหลัง</t>
  </si>
  <si>
    <t>เดือนที่</t>
  </si>
  <si>
    <t>ได้เลื่อน</t>
  </si>
  <si>
    <t>ได้รับ</t>
  </si>
  <si>
    <t>ช่องกรอกตามบัญชีหมายเลข 2</t>
  </si>
  <si>
    <t>แนวทางการกรอกข้อมูล</t>
  </si>
  <si>
    <t>สมาชิก กบข.</t>
  </si>
  <si>
    <t>อันดับ คศ.</t>
  </si>
  <si>
    <t>วันที่ เดือน พ.ศ.</t>
  </si>
  <si>
    <t>เลื่อนวิทยฐานะ/ปรับเงินเดือนตามวุฒิ</t>
  </si>
  <si>
    <t>ในช่องที่เป็นแถบสี</t>
  </si>
  <si>
    <t>- ช่องที่เป็นแถบสีไม่ต้องกรอก โปรแกรมจะคำนวณให้ บางกรณีที่ตัวเลขในช่อง</t>
  </si>
  <si>
    <t xml:space="preserve">   ที่เป็นแถบสีไม่ถูกต้อง ให้พิมพ์ตัวเลขที่ถูกต้องลงทับในแถบสีได้เลย เช่น</t>
  </si>
  <si>
    <t xml:space="preserve">   ดำรงตำแหน่ง คศ.2 ที่ไม่มีวิทยฐานะชำนาญการ แต่ช่องเงินวิทยฐานะ</t>
  </si>
  <si>
    <t xml:space="preserve">   จะแสดงตัวเลข 3,500 ให้พิมพ์เลข 0 ทับลงในช่องที่เป็นแถบสีได้เลย</t>
  </si>
  <si>
    <t>รับโอน</t>
  </si>
  <si>
    <t>ย้ายออก</t>
  </si>
  <si>
    <t>เลื่อนวิทยฐานะ</t>
  </si>
  <si>
    <t>2 ขั้น</t>
  </si>
  <si>
    <t>1.5 ขั้น</t>
  </si>
  <si>
    <t>1 ขั้น</t>
  </si>
  <si>
    <t>0.5 ขั้น</t>
  </si>
  <si>
    <t>0 ขั้น</t>
  </si>
  <si>
    <t>กลุ่มระดับ</t>
  </si>
  <si>
    <t>วงเงินร้อยละ 6</t>
  </si>
  <si>
    <t>ถ้าเป็น</t>
  </si>
  <si>
    <t>(ถ้าว่างให้พิมพ์ "ว่าง")</t>
  </si>
  <si>
    <t>วงเงินที่ใช้</t>
  </si>
  <si>
    <t>เลื่อนขั้นของ</t>
  </si>
  <si>
    <t>คนที่โอนมา</t>
  </si>
  <si>
    <t>หลัง 1 เม.ย.</t>
  </si>
  <si>
    <t>บัญชีถือจ่ายเงินค่าจ้าง ลูกจ้างประจำของสถานศึกษา สังกัด องค์กรปกครองส่วนท้องถิ่น ปีงบประมาณ พ.ศ.๒๕๕๖</t>
  </si>
  <si>
    <t>ของสถานศึกษา สังกัดองค์กรปกครองส่วนท้องถิ่น ปีงบประมาณ พ.ศ.๒๕๕๖</t>
  </si>
  <si>
    <t>เลขที่ตำแหน่ง</t>
  </si>
  <si>
    <t>ขั้นเงินเดือน</t>
  </si>
  <si>
    <t>1 ตค 57</t>
  </si>
  <si>
    <t>เงินค่าครองชีพ</t>
  </si>
  <si>
    <r>
      <t xml:space="preserve">- ให้พิมพ์ชื่อผู้ครองตำแหน่ง ถ้าเป็นอัตราว่างให้พิมพ์ </t>
    </r>
    <r>
      <rPr>
        <b/>
        <sz val="16"/>
        <color indexed="10"/>
        <rFont val="TH SarabunPSK"/>
        <family val="2"/>
      </rPr>
      <t>"ว่าง"</t>
    </r>
  </si>
  <si>
    <t>บัญชีหมายเลข 1</t>
  </si>
  <si>
    <t>ครูผู้ช่วย - คศ.1</t>
  </si>
  <si>
    <t>คศ.4 - 5</t>
  </si>
  <si>
    <t>ครูผู้ช่วย - คศ.3</t>
  </si>
  <si>
    <t>การเบิกจ่ายเงินวิทยฐานะ ประจำปีงบประมาณ พ.ศ.2559 (1 ตุลาคม 2558)</t>
  </si>
  <si>
    <t>เงินเดือนถือจ่ายประจำปีงบประมาณ พ.ศ.2559 (1 ตุลาคม 2558)</t>
  </si>
  <si>
    <t>รวมงบประมาณที่เบิกจ่ายในปีงบประมาณ พ.ศ.2558</t>
  </si>
  <si>
    <t>แบบกรอกรายละเอียดบัญชีถือจ่ายเงินเดือนครู สังกัด องค์กรปกครองส่วนท้องถิ่น ปีงบประมาณ พ.ศ.2558</t>
  </si>
  <si>
    <t>รับโอน/บรรจุแต่งตั้ง/เปลี่ยนสายงาน (1 ต.ค.57 - 30 พ.ย.57)</t>
  </si>
  <si>
    <t xml:space="preserve"> ครั้งปีแรก (ระหว่างวันที่ 1 ตุลาคม 2557 - 31 มี.ค.2558)</t>
  </si>
  <si>
    <t>ย้ายออก/ลาออก/เสียชีวิต (1 ต.ค.57 - 30 พ.ย.57)</t>
  </si>
  <si>
    <t>ปรับเงิน/เลื่อนวิทยฐานะ (1 ต.ค.57-30 พ.ย.57)</t>
  </si>
  <si>
    <t>รับโอน/บรรจุแต่งตั้ง/เปลี่ยนสายงาน (1 ธ.ค.57 - 31 มี.ค.58)</t>
  </si>
  <si>
    <t>ปรับเงิน 1 ธ.ค.2557</t>
  </si>
  <si>
    <t>ย้ายออก/ลาออก/เสียชีวิต (1 ธ.ค.57 - 31 มี.ค.58)</t>
  </si>
  <si>
    <t>ปรับเงิน/เลื่อนวิทยฐานะ (1 ธ.ค.57- 31 มี.ค.58)</t>
  </si>
  <si>
    <t>ณ 1 มี.ค.2558</t>
  </si>
  <si>
    <t>ขั้นเงินเดือน ณ 1 เม.ย.58</t>
  </si>
  <si>
    <t>เลื่อนขั้นครั้งที่ 1 (1 เม.ย.58)</t>
  </si>
  <si>
    <t>ครึ่งปีหลัง ระหว่าง 1 เม.ย. - 30 ก.ย.58</t>
  </si>
  <si>
    <t>ปรับเงิน/เลื่อนวิทยฐานะ 1 เม.ย.58-30 ก.ย.58</t>
  </si>
  <si>
    <t>ณ 1 ก.ย.58</t>
  </si>
  <si>
    <t>ขั้นเงินเดือน ณ 1 ต.ค.58</t>
  </si>
  <si>
    <t>เลื่อนขั้นครั้งที่ 2 (1 ต.ค.58)</t>
  </si>
  <si>
    <t>รวมทั้งปีงบประมาณ พ.ศ.2558</t>
  </si>
  <si>
    <t>1 มี.ค.58</t>
  </si>
  <si>
    <t>1 เมย 58</t>
  </si>
  <si>
    <t>1 ก.ย.58</t>
  </si>
  <si>
    <t>1 ตค 58</t>
  </si>
  <si>
    <t>ต.ค. -พ.ย.57</t>
  </si>
  <si>
    <t>ย้ายออก (ต.ค.57 - พ.ย.57)</t>
  </si>
  <si>
    <t>ย้ายออก (ธ.ค.57 - มี.ค.58)</t>
  </si>
  <si>
    <t>ครึ่งปีแรก 1 ตุลาคม 2557 ถึง 30 มีนาคม 2558</t>
  </si>
  <si>
    <t>เลื่อนขั้น เม.ย.58</t>
  </si>
  <si>
    <t>เงินที่ใช้ เม.ย.-ก.ย.58</t>
  </si>
  <si>
    <t>1 เม.ย.58 - ก่อนเลื่อน</t>
  </si>
  <si>
    <t>หลังเลื่อน - 30 ก.ย.58</t>
  </si>
  <si>
    <t>เลื่อนขั้น ต.ค.58</t>
  </si>
  <si>
    <t>โควตา 1 ขั้น</t>
  </si>
  <si>
    <t>ณ วันที่ 1 มี.ค.58</t>
  </si>
  <si>
    <t>การใช้เงินเลื่อนขั้น ครั้งที่ 1 (1 เม.ย.2558)</t>
  </si>
  <si>
    <t>การใช้เงินเลื่อนขั้น ครั้งที่ 2 (1 ต.ค.2558)</t>
  </si>
  <si>
    <t>โควตา(15%)</t>
  </si>
  <si>
    <t>จำนวนเงินที่ถือจ่าย ปี 2559</t>
  </si>
  <si>
    <t>รับโอน(1 ต.ค.57 ถึง 30 พ.ย.57)</t>
  </si>
  <si>
    <t>เลื่อนวิทยฐานะ (1 ต.ค.57 - 30 พ.ย.57)</t>
  </si>
  <si>
    <t>ช่วงแรก (ต.ค.2557 ถึง 30 พ.ย.2557๗</t>
  </si>
  <si>
    <t>รับโอน(1 ธ.ค.57 ถึง 31 มี.ค.58)</t>
  </si>
  <si>
    <t>เลื่อนวิทยฐานะ (1 ธ.ค.57 - 31 มี.ค.58)</t>
  </si>
  <si>
    <t>ช่วงที่สอง (ธ.ค.2557 ถึง 31 มี.ค.2558)</t>
  </si>
  <si>
    <t>ต.ค.57 ถึง พ.ย.57</t>
  </si>
  <si>
    <t>ธ.ค.57 ถึง มี.ค.58</t>
  </si>
  <si>
    <t>เม.ย.58 ถึง ก.ย.58</t>
  </si>
  <si>
    <t>ธ.ค.57-มี.ค.58</t>
  </si>
  <si>
    <t>ผอ.สถานศึกษา</t>
  </si>
  <si>
    <t>รอง ผอ.สถานศึกษา</t>
  </si>
  <si>
    <t>ครู</t>
  </si>
  <si>
    <t>คศ.4(5)</t>
  </si>
  <si>
    <t>คศ.3(4)</t>
  </si>
  <si>
    <t>คศ.2(3)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</si>
  <si>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</si>
  <si>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</si>
  <si>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</si>
  <si>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</si>
  <si>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</si>
  <si>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</si>
  <si>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</si>
  <si>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</si>
  <si>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</si>
  <si>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</si>
  <si>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</si>
  <si>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</si>
  <si>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ณ วันที่ 1 ต.ค.2557</t>
  </si>
  <si>
    <t>บรรจุใหม่</t>
  </si>
  <si>
    <t>เปลี่ยนสายงาน</t>
  </si>
  <si>
    <t>สอบคัดเลือก</t>
  </si>
  <si>
    <t>ลาออก</t>
  </si>
  <si>
    <t>เสียชีวิต</t>
  </si>
  <si>
    <t>ย้ายสับเปลี่ยน</t>
  </si>
  <si>
    <t>เลื่อนขั้นทั้งปี</t>
  </si>
  <si>
    <t>สรุป</t>
  </si>
  <si>
    <t>แบ่งกลุ่ม</t>
  </si>
  <si>
    <t>กลุ่ม</t>
  </si>
  <si>
    <t>ระดับ</t>
  </si>
  <si>
    <t>ร้อยละ 7</t>
  </si>
  <si>
    <t>ณ วันที่ 1 ก.ย.2558</t>
  </si>
  <si>
    <t>ครึ่งปีหลัง (1 เมษายน 2558 ถึง 30 กันยายน 2558)</t>
  </si>
  <si>
    <t>ชำนาญการพิเศษ</t>
  </si>
  <si>
    <t>คู่มือการจัดทำบัญชีถือจ่ายเงินเดือนฯ (จ.๑๘) ประจำปี ๒๕๕๘</t>
  </si>
  <si>
    <t>- ในช่องวันที่ ให้พิมพ์ตัวเลข</t>
  </si>
  <si>
    <r>
      <t xml:space="preserve">- ถ้าเป็นสมาชิก กบข. ให้คลิ๊กในแถบตัวเลือก </t>
    </r>
    <r>
      <rPr>
        <b/>
        <sz val="16"/>
        <color indexed="10"/>
        <rFont val="TH SarabunPSK"/>
        <family val="2"/>
      </rPr>
      <t>กบข</t>
    </r>
    <r>
      <rPr>
        <sz val="16"/>
        <color indexed="8"/>
        <rFont val="TH SarabunPSK"/>
        <family val="2"/>
      </rPr>
      <t xml:space="preserve"> ถ้าไม่ได้เป็นให้เว้นว่างไว้</t>
    </r>
  </si>
  <si>
    <t>- ให้คลิ๊กเลือกตำแหน่งในแถบตัวเลือก เช่น ครูผู้ช่วย คศ.1 คศ.2 ฯ</t>
  </si>
  <si>
    <t>- ในช่องเดือน/ปี ให้คลิ๊กเลือกเดือนที่ระบุในแถบตัวเลือก</t>
  </si>
  <si>
    <t>ขั้นเงินเดือน ณ ๑ มี.ค. ๕๘</t>
  </si>
  <si>
    <t>ช่องปรับเงินเดือน ๑ ธ.ค.๕๗</t>
  </si>
  <si>
    <t>- ให้กรอกตำแหน่งและขั้นเงินเดือนที่ได้รับการปรับเพิ่ม ๑ ขั้น ณ วันที่ ๑ ธ.ค.๕๗</t>
  </si>
  <si>
    <t xml:space="preserve">  คนที่ไม่ได้ปรับก็ต้องกรอกด้วย ยกเว้นกรณีเป็นตำแหน่งว่างไม่ต้องกรอก</t>
  </si>
  <si>
    <t>ขั้นเงินเดือน ณ ๑ เม.ย. ๕๘</t>
  </si>
  <si>
    <t>ขั้นเงินเดือน ณ ๑ ก.ย. ๕๘</t>
  </si>
  <si>
    <t>ขั้นเงินเดือน ณ ๑ ต.ค. ๕๘</t>
  </si>
  <si>
    <t>- ช่องนี้ไม่ต้องกรอก ตำแหน่งและขั้นเงินเดือนจะขึ้นเอง</t>
  </si>
  <si>
    <r>
      <t>- ให้เลือกจำนวนขั้นที่ได้รับการเลื่อนในแถบตัวเลือก</t>
    </r>
    <r>
      <rPr>
        <sz val="16"/>
        <color indexed="8"/>
        <rFont val="TH SarabunPSK"/>
        <family val="2"/>
      </rPr>
      <t xml:space="preserve">  เช่น 0.0 0.5 1.0 ขั้น ถ้าเป็นกรณี</t>
    </r>
  </si>
  <si>
    <t xml:space="preserve">  เงินเดือนเต็มขั้นให้เลือกจำนวนร้อยละที่ได้รับการเลื่อนในแถบตัวเลือก  เช่น 2 4</t>
  </si>
  <si>
    <t>- กรณีมีการบรรจุแต่งตั้ง,รับโอน,ย้ายสับเปลี่ยน,เปลี่ยนสายงาน หรือ ลาออก,ย้าย,เสียชีวิต</t>
  </si>
  <si>
    <t xml:space="preserve">  เลื่อนวิทยฐานะ,ปรับเงินเดือนตามวุฒิ ให้กรอกตรงตามช่วงระยะเวลาที่กำหนดในตาราง คือ</t>
  </si>
  <si>
    <r>
      <t xml:space="preserve">  - </t>
    </r>
    <r>
      <rPr>
        <b/>
        <u/>
        <sz val="16"/>
        <color theme="1"/>
        <rFont val="TH SarabunPSK"/>
        <family val="2"/>
      </rPr>
      <t>ช่วงแรก</t>
    </r>
    <r>
      <rPr>
        <sz val="16"/>
        <color theme="1"/>
        <rFont val="TH SarabunPSK"/>
        <family val="2"/>
      </rPr>
      <t xml:space="preserve"> ตั้งแต่วันที่ 1 ตุลาคม - 30 พฤศจิกายน 2557</t>
    </r>
  </si>
  <si>
    <r>
      <t xml:space="preserve">  - </t>
    </r>
    <r>
      <rPr>
        <b/>
        <u/>
        <sz val="16"/>
        <color theme="1"/>
        <rFont val="TH SarabunPSK"/>
        <family val="2"/>
      </rPr>
      <t>ช่วงที่สอง</t>
    </r>
    <r>
      <rPr>
        <sz val="16"/>
        <color theme="1"/>
        <rFont val="TH SarabunPSK"/>
        <family val="2"/>
      </rPr>
      <t xml:space="preserve"> ตั้งแต่วันที่ 1 ธันวาคม 2557 - 31 มีนาคม 2558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</si>
  <si>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  - </t>
    </r>
    <r>
      <rPr>
        <b/>
        <u/>
        <sz val="16"/>
        <color theme="1"/>
        <rFont val="TH SarabunPSK"/>
        <family val="2"/>
      </rPr>
      <t>ช่วงที่สาม</t>
    </r>
    <r>
      <rPr>
        <sz val="16"/>
        <color theme="1"/>
        <rFont val="TH SarabunPSK"/>
        <family val="2"/>
      </rPr>
      <t xml:space="preserve"> ตั้งแต่วันที่ 1 เมษายน - 30 กันยายน 2558</t>
    </r>
    <r>
      <rPr>
        <sz val="11"/>
        <color theme="1"/>
        <rFont val="Tahoma"/>
        <family val="2"/>
        <charset val="222"/>
        <scheme val="minor"/>
      </rPr>
      <t/>
    </r>
  </si>
  <si>
    <r>
      <t xml:space="preserve">- ให้กดเลือกแถบตัวเลือก </t>
    </r>
    <r>
      <rPr>
        <b/>
        <u/>
        <sz val="16"/>
        <color indexed="8"/>
        <rFont val="TH SarabunPSK"/>
        <family val="2"/>
      </rPr>
      <t>เหตุที่เข้าสู่ตำแหน่ง</t>
    </r>
    <r>
      <rPr>
        <sz val="16"/>
        <color indexed="8"/>
        <rFont val="TH SarabunPSK"/>
        <family val="2"/>
      </rPr>
      <t xml:space="preserve"> เช่น บรรจุใหม่,รับโอน,เปลี่ยนสายงาน</t>
    </r>
  </si>
  <si>
    <r>
      <t xml:space="preserve">  </t>
    </r>
    <r>
      <rPr>
        <b/>
        <u/>
        <sz val="16"/>
        <color indexed="8"/>
        <rFont val="TH SarabunPSK"/>
        <family val="2"/>
      </rPr>
      <t>เหตุออกจากตำแหน่ง</t>
    </r>
    <r>
      <rPr>
        <sz val="16"/>
        <color indexed="8"/>
        <rFont val="TH SarabunPSK"/>
        <family val="2"/>
      </rPr>
      <t xml:space="preserve"> เช่น ย้ายออก,ลาออก,เสียชีวิต</t>
    </r>
  </si>
  <si>
    <t>- กรณีมีการปรับอัตราเงินเดือนให้ได้รับตามวุฒิ เช่น ปรับเงินตามวุฒิ ป.โท ให้กรอกในช่อง</t>
  </si>
  <si>
    <t xml:space="preserve">  ให้กรอกในช่องเลื่อนวิทยฐานะ</t>
  </si>
  <si>
    <t>แบบรายงานการถือจ่ายและการใช้เงินเลื่อนขั้นข้าราชการครู/พนักงานครู สังกัดองค์กรปกครองส่วนท้องถิ่น ประจำปีงบประมาณ พ.ศ.2558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</si>
</sst>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0.0"/>
    <numFmt numFmtId="189" formatCode="[$-1070000]d/m/yy;@"/>
    <numFmt numFmtId="190" formatCode="[$-1870000]d/m/yy;@"/>
    <numFmt numFmtId="191" formatCode="#,##0.0"/>
    <numFmt numFmtId="192" formatCode="_-* #,##0_-;\-* #,##0_-;_-* &quot;-&quot;??_-;_-@_-"/>
  </numFmts>
  <fonts count="3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CordiaUPC"/>
      <family val="2"/>
      <charset val="222"/>
    </font>
    <font>
      <sz val="16"/>
      <name val="Browallia New"/>
      <family val="2"/>
    </font>
    <font>
      <b/>
      <sz val="16"/>
      <name val="CordiaUPC"/>
      <family val="2"/>
    </font>
    <font>
      <b/>
      <sz val="16"/>
      <name val="Browallia New"/>
      <family val="2"/>
    </font>
    <font>
      <sz val="14"/>
      <name val="Browallia New"/>
      <family val="2"/>
    </font>
    <font>
      <sz val="15"/>
      <name val="Browallia New"/>
      <family val="2"/>
    </font>
    <font>
      <sz val="16"/>
      <name val="CordiaUPC"/>
      <family val="2"/>
      <charset val="222"/>
    </font>
    <font>
      <b/>
      <sz val="14"/>
      <color indexed="8"/>
      <name val="CordiaUPC"/>
      <family val="2"/>
    </font>
    <font>
      <sz val="14"/>
      <color indexed="8"/>
      <name val="CordiaUPC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6"/>
      <color theme="1"/>
      <name val="CordiaUPC"/>
      <family val="2"/>
      <charset val="222"/>
    </font>
    <font>
      <sz val="14"/>
      <color theme="1"/>
      <name val="CordiaUPC"/>
      <family val="2"/>
      <charset val="222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b/>
      <sz val="14"/>
      <color theme="1"/>
      <name val="CordiaUPC"/>
      <family val="2"/>
      <charset val="222"/>
    </font>
    <font>
      <sz val="11"/>
      <color theme="1"/>
      <name val="CordiaUPC"/>
      <family val="2"/>
    </font>
    <font>
      <b/>
      <sz val="16"/>
      <color theme="1"/>
      <name val="CordiaUPC"/>
      <family val="2"/>
    </font>
    <font>
      <sz val="16"/>
      <color theme="1"/>
      <name val="CordiaUPC"/>
      <family val="2"/>
    </font>
    <font>
      <b/>
      <sz val="16"/>
      <color rgb="FFFF0000"/>
      <name val="Browallia New"/>
      <family val="2"/>
    </font>
    <font>
      <b/>
      <sz val="16"/>
      <color rgb="FF008000"/>
      <name val="Browallia New"/>
      <family val="2"/>
    </font>
    <font>
      <b/>
      <sz val="16"/>
      <color rgb="FFFF0000"/>
      <name val="CordiaUPC"/>
      <family val="2"/>
      <charset val="22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CordiaUPC"/>
      <family val="2"/>
      <charset val="222"/>
    </font>
    <font>
      <sz val="16"/>
      <color rgb="FF00B0F0"/>
      <name val="CordiaUPC"/>
      <family val="2"/>
      <charset val="222"/>
    </font>
    <font>
      <b/>
      <sz val="16"/>
      <color rgb="FFFF0000"/>
      <name val="CordiaUPC"/>
      <family val="2"/>
    </font>
    <font>
      <sz val="16"/>
      <color rgb="FFFFFF00"/>
      <name val="CordiaUPC"/>
      <family val="2"/>
      <charset val="222"/>
    </font>
    <font>
      <b/>
      <sz val="14"/>
      <color rgb="FFFF0000"/>
      <name val="CordiaUPC"/>
      <family val="2"/>
      <charset val="222"/>
    </font>
    <font>
      <b/>
      <sz val="16"/>
      <color theme="1"/>
      <name val="CordiaUPC"/>
      <family val="2"/>
      <charset val="22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4" fillId="0" borderId="0" applyFont="0" applyFill="0" applyBorder="0" applyAlignment="0" applyProtection="0"/>
  </cellStyleXfs>
  <cellXfs count="4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 applyProtection="1">
      <alignment horizontal="center"/>
    </xf>
    <xf numFmtId="3" fontId="18" fillId="0" borderId="1" xfId="0" applyNumberFormat="1" applyFont="1" applyBorder="1" applyProtection="1"/>
    <xf numFmtId="189" fontId="18" fillId="6" borderId="1" xfId="0" applyNumberFormat="1" applyFont="1" applyFill="1" applyBorder="1" applyProtection="1"/>
    <xf numFmtId="3" fontId="18" fillId="7" borderId="1" xfId="0" applyNumberFormat="1" applyFont="1" applyFill="1" applyBorder="1" applyProtection="1"/>
    <xf numFmtId="0" fontId="19" fillId="0" borderId="0" xfId="0" applyFont="1"/>
    <xf numFmtId="0" fontId="19" fillId="0" borderId="1" xfId="0" applyFont="1" applyBorder="1"/>
    <xf numFmtId="1" fontId="19" fillId="0" borderId="1" xfId="0" applyNumberFormat="1" applyFont="1" applyBorder="1"/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8" fillId="8" borderId="4" xfId="0" applyFont="1" applyFill="1" applyBorder="1" applyAlignment="1" applyProtection="1">
      <alignment horizontal="center"/>
      <protection locked="0"/>
    </xf>
    <xf numFmtId="9" fontId="18" fillId="8" borderId="4" xfId="0" applyNumberFormat="1" applyFont="1" applyFill="1" applyBorder="1" applyAlignment="1" applyProtection="1">
      <alignment horizontal="center"/>
      <protection locked="0"/>
    </xf>
    <xf numFmtId="0" fontId="18" fillId="8" borderId="5" xfId="0" applyFont="1" applyFill="1" applyBorder="1" applyAlignment="1" applyProtection="1">
      <alignment horizontal="center"/>
      <protection locked="0"/>
    </xf>
    <xf numFmtId="0" fontId="18" fillId="6" borderId="4" xfId="0" applyFont="1" applyFill="1" applyBorder="1" applyAlignment="1" applyProtection="1">
      <alignment horizontal="center" vertical="center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9" borderId="4" xfId="0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 applyProtection="1">
      <alignment horizontal="center" vertical="center"/>
      <protection locked="0"/>
    </xf>
    <xf numFmtId="0" fontId="18" fillId="9" borderId="6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9" fontId="18" fillId="8" borderId="6" xfId="0" applyNumberFormat="1" applyFont="1" applyFill="1" applyBorder="1" applyAlignment="1" applyProtection="1">
      <alignment horizontal="center"/>
      <protection locked="0"/>
    </xf>
    <xf numFmtId="0" fontId="18" fillId="8" borderId="7" xfId="0" applyFont="1" applyFill="1" applyBorder="1" applyAlignment="1" applyProtection="1">
      <alignment horizontal="center"/>
      <protection locked="0"/>
    </xf>
    <xf numFmtId="0" fontId="18" fillId="0" borderId="1" xfId="0" applyFont="1" applyBorder="1" applyProtection="1"/>
    <xf numFmtId="0" fontId="18" fillId="6" borderId="1" xfId="0" applyNumberFormat="1" applyFont="1" applyFill="1" applyBorder="1" applyProtection="1"/>
    <xf numFmtId="0" fontId="18" fillId="0" borderId="1" xfId="0" applyNumberFormat="1" applyFont="1" applyFill="1" applyBorder="1" applyProtection="1"/>
    <xf numFmtId="0" fontId="18" fillId="0" borderId="1" xfId="0" applyNumberFormat="1" applyFont="1" applyBorder="1" applyAlignment="1" applyProtection="1">
      <alignment horizontal="center"/>
    </xf>
    <xf numFmtId="3" fontId="18" fillId="0" borderId="1" xfId="0" applyNumberFormat="1" applyFont="1" applyFill="1" applyBorder="1" applyAlignment="1" applyProtection="1">
      <alignment horizontal="center"/>
    </xf>
    <xf numFmtId="3" fontId="18" fillId="0" borderId="1" xfId="0" applyNumberFormat="1" applyFont="1" applyFill="1" applyBorder="1" applyProtection="1"/>
    <xf numFmtId="1" fontId="18" fillId="0" borderId="1" xfId="0" applyNumberFormat="1" applyFont="1" applyFill="1" applyBorder="1" applyAlignment="1" applyProtection="1">
      <alignment horizontal="center"/>
    </xf>
    <xf numFmtId="188" fontId="18" fillId="8" borderId="1" xfId="0" applyNumberFormat="1" applyFont="1" applyFill="1" applyBorder="1" applyAlignment="1" applyProtection="1">
      <alignment horizontal="center"/>
    </xf>
    <xf numFmtId="3" fontId="18" fillId="8" borderId="1" xfId="0" applyNumberFormat="1" applyFont="1" applyFill="1" applyBorder="1" applyAlignment="1" applyProtection="1">
      <alignment horizontal="center"/>
    </xf>
    <xf numFmtId="3" fontId="18" fillId="7" borderId="1" xfId="0" applyNumberFormat="1" applyFont="1" applyFill="1" applyBorder="1" applyAlignment="1" applyProtection="1">
      <alignment horizontal="center"/>
    </xf>
    <xf numFmtId="0" fontId="18" fillId="6" borderId="4" xfId="0" applyFont="1" applyFill="1" applyBorder="1" applyAlignment="1" applyProtection="1">
      <alignment horizont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2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/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23" fillId="0" borderId="0" xfId="0" applyFont="1"/>
    <xf numFmtId="0" fontId="21" fillId="0" borderId="0" xfId="0" applyFont="1" applyBorder="1" applyAlignment="1">
      <alignment horizontal="center"/>
    </xf>
    <xf numFmtId="0" fontId="18" fillId="7" borderId="8" xfId="0" applyFont="1" applyFill="1" applyBorder="1" applyAlignment="1" applyProtection="1">
      <alignment horizontal="center" vertical="center" wrapText="1"/>
      <protection locked="0"/>
    </xf>
    <xf numFmtId="0" fontId="18" fillId="7" borderId="9" xfId="0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 applyAlignment="1" applyProtection="1">
      <alignment horizontal="center"/>
    </xf>
    <xf numFmtId="0" fontId="24" fillId="0" borderId="0" xfId="0" applyFont="1" applyAlignment="1"/>
    <xf numFmtId="0" fontId="18" fillId="0" borderId="0" xfId="0" applyFont="1" applyAlignment="1"/>
    <xf numFmtId="0" fontId="18" fillId="0" borderId="10" xfId="0" applyFont="1" applyBorder="1" applyAlignme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0" fillId="0" borderId="5" xfId="0" applyBorder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Protection="1"/>
    <xf numFmtId="3" fontId="25" fillId="0" borderId="1" xfId="0" applyNumberFormat="1" applyFont="1" applyBorder="1" applyProtection="1"/>
    <xf numFmtId="0" fontId="24" fillId="0" borderId="10" xfId="0" applyFont="1" applyBorder="1" applyAlignment="1"/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9" borderId="9" xfId="0" applyFont="1" applyFill="1" applyBorder="1" applyAlignment="1" applyProtection="1">
      <alignment horizontal="center" vertical="center"/>
      <protection locked="0"/>
    </xf>
    <xf numFmtId="0" fontId="18" fillId="10" borderId="4" xfId="0" applyFont="1" applyFill="1" applyBorder="1" applyAlignment="1" applyProtection="1">
      <alignment horizontal="center" vertical="center"/>
      <protection locked="0"/>
    </xf>
    <xf numFmtId="0" fontId="18" fillId="10" borderId="9" xfId="0" applyFont="1" applyFill="1" applyBorder="1" applyAlignment="1" applyProtection="1">
      <alignment horizontal="center" vertical="center"/>
      <protection locked="0"/>
    </xf>
    <xf numFmtId="0" fontId="18" fillId="10" borderId="5" xfId="0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Border="1" applyAlignment="1" applyProtection="1">
      <alignment horizontal="center" vertical="center"/>
      <protection locked="0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18" fillId="10" borderId="6" xfId="0" applyFont="1" applyFill="1" applyBorder="1" applyAlignment="1" applyProtection="1">
      <alignment horizontal="center" vertical="center"/>
      <protection locked="0"/>
    </xf>
    <xf numFmtId="192" fontId="3" fillId="0" borderId="0" xfId="1" applyNumberFormat="1" applyFont="1" applyFill="1" applyBorder="1" applyAlignment="1">
      <alignment vertical="center"/>
    </xf>
    <xf numFmtId="192" fontId="4" fillId="0" borderId="1" xfId="1" applyNumberFormat="1" applyFont="1" applyBorder="1" applyAlignment="1">
      <alignment horizontal="center" vertical="center"/>
    </xf>
    <xf numFmtId="192" fontId="4" fillId="0" borderId="6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92" fontId="5" fillId="0" borderId="2" xfId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92" fontId="26" fillId="11" borderId="1" xfId="1" applyNumberFormat="1" applyFont="1" applyFill="1" applyBorder="1" applyAlignment="1">
      <alignment horizontal="center" vertical="center"/>
    </xf>
    <xf numFmtId="192" fontId="27" fillId="11" borderId="1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92" fontId="5" fillId="0" borderId="4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92" fontId="5" fillId="0" borderId="6" xfId="1" applyNumberFormat="1" applyFont="1" applyBorder="1" applyAlignment="1">
      <alignment horizontal="center" vertical="center"/>
    </xf>
    <xf numFmtId="0" fontId="0" fillId="0" borderId="4" xfId="0" applyBorder="1"/>
    <xf numFmtId="0" fontId="6" fillId="4" borderId="1" xfId="0" applyFont="1" applyFill="1" applyBorder="1" applyAlignment="1">
      <alignment horizontal="center" vertical="center"/>
    </xf>
    <xf numFmtId="192" fontId="3" fillId="4" borderId="1" xfId="1" applyNumberFormat="1" applyFont="1" applyFill="1" applyBorder="1" applyAlignment="1">
      <alignment vertical="center"/>
    </xf>
    <xf numFmtId="192" fontId="5" fillId="4" borderId="1" xfId="1" applyNumberFormat="1" applyFont="1" applyFill="1" applyBorder="1" applyAlignment="1">
      <alignment vertical="center"/>
    </xf>
    <xf numFmtId="192" fontId="26" fillId="4" borderId="1" xfId="1" applyNumberFormat="1" applyFont="1" applyFill="1" applyBorder="1" applyAlignment="1">
      <alignment vertical="center"/>
    </xf>
    <xf numFmtId="192" fontId="27" fillId="4" borderId="1" xfId="1" applyNumberFormat="1" applyFont="1" applyFill="1" applyBorder="1" applyAlignment="1">
      <alignment vertical="center"/>
    </xf>
    <xf numFmtId="192" fontId="3" fillId="3" borderId="1" xfId="1" applyNumberFormat="1" applyFont="1" applyFill="1" applyBorder="1" applyAlignment="1">
      <alignment vertical="center"/>
    </xf>
    <xf numFmtId="192" fontId="5" fillId="3" borderId="1" xfId="1" applyNumberFormat="1" applyFont="1" applyFill="1" applyBorder="1" applyAlignment="1">
      <alignment vertical="center"/>
    </xf>
    <xf numFmtId="192" fontId="3" fillId="0" borderId="4" xfId="1" applyNumberFormat="1" applyFont="1" applyFill="1" applyBorder="1" applyAlignment="1">
      <alignment vertical="center"/>
    </xf>
    <xf numFmtId="192" fontId="3" fillId="4" borderId="2" xfId="1" applyNumberFormat="1" applyFont="1" applyFill="1" applyBorder="1" applyAlignment="1">
      <alignment vertical="center"/>
    </xf>
    <xf numFmtId="192" fontId="5" fillId="4" borderId="2" xfId="1" applyNumberFormat="1" applyFont="1" applyFill="1" applyBorder="1" applyAlignment="1">
      <alignment vertical="center"/>
    </xf>
    <xf numFmtId="192" fontId="26" fillId="4" borderId="2" xfId="1" applyNumberFormat="1" applyFont="1" applyFill="1" applyBorder="1" applyAlignment="1">
      <alignment vertical="center"/>
    </xf>
    <xf numFmtId="192" fontId="27" fillId="4" borderId="2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92" fontId="26" fillId="3" borderId="1" xfId="1" applyNumberFormat="1" applyFont="1" applyFill="1" applyBorder="1" applyAlignment="1">
      <alignment vertical="center"/>
    </xf>
    <xf numFmtId="192" fontId="27" fillId="3" borderId="1" xfId="1" applyNumberFormat="1" applyFont="1" applyFill="1" applyBorder="1" applyAlignment="1">
      <alignment vertical="center"/>
    </xf>
    <xf numFmtId="0" fontId="0" fillId="0" borderId="6" xfId="0" applyBorder="1"/>
    <xf numFmtId="192" fontId="3" fillId="0" borderId="6" xfId="1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92" fontId="3" fillId="5" borderId="1" xfId="1" applyNumberFormat="1" applyFont="1" applyFill="1" applyBorder="1" applyAlignment="1">
      <alignment vertical="center"/>
    </xf>
    <xf numFmtId="192" fontId="5" fillId="5" borderId="1" xfId="1" applyNumberFormat="1" applyFont="1" applyFill="1" applyBorder="1" applyAlignment="1">
      <alignment vertical="center"/>
    </xf>
    <xf numFmtId="192" fontId="26" fillId="5" borderId="1" xfId="1" applyNumberFormat="1" applyFont="1" applyFill="1" applyBorder="1" applyAlignment="1">
      <alignment vertical="center"/>
    </xf>
    <xf numFmtId="192" fontId="27" fillId="5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92" fontId="3" fillId="0" borderId="5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92" fontId="26" fillId="4" borderId="12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92" fontId="3" fillId="3" borderId="14" xfId="1" applyNumberFormat="1" applyFont="1" applyFill="1" applyBorder="1" applyAlignment="1">
      <alignment vertical="center"/>
    </xf>
    <xf numFmtId="192" fontId="5" fillId="3" borderId="15" xfId="1" applyNumberFormat="1" applyFont="1" applyFill="1" applyBorder="1" applyAlignment="1">
      <alignment vertical="center"/>
    </xf>
    <xf numFmtId="192" fontId="26" fillId="11" borderId="16" xfId="1" applyNumberFormat="1" applyFont="1" applyFill="1" applyBorder="1" applyAlignment="1">
      <alignment vertical="center"/>
    </xf>
    <xf numFmtId="192" fontId="27" fillId="11" borderId="16" xfId="1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192" fontId="3" fillId="5" borderId="6" xfId="1" applyNumberFormat="1" applyFont="1" applyFill="1" applyBorder="1" applyAlignment="1">
      <alignment vertical="center"/>
    </xf>
    <xf numFmtId="192" fontId="5" fillId="5" borderId="6" xfId="1" applyNumberFormat="1" applyFont="1" applyFill="1" applyBorder="1" applyAlignment="1">
      <alignment vertical="center"/>
    </xf>
    <xf numFmtId="192" fontId="26" fillId="5" borderId="6" xfId="1" applyNumberFormat="1" applyFont="1" applyFill="1" applyBorder="1" applyAlignment="1">
      <alignment vertical="center"/>
    </xf>
    <xf numFmtId="192" fontId="27" fillId="5" borderId="6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92" fontId="3" fillId="3" borderId="6" xfId="1" applyNumberFormat="1" applyFont="1" applyFill="1" applyBorder="1" applyAlignment="1">
      <alignment vertical="center"/>
    </xf>
    <xf numFmtId="192" fontId="5" fillId="3" borderId="6" xfId="1" applyNumberFormat="1" applyFont="1" applyFill="1" applyBorder="1" applyAlignment="1">
      <alignment vertical="center"/>
    </xf>
    <xf numFmtId="192" fontId="26" fillId="3" borderId="6" xfId="1" applyNumberFormat="1" applyFont="1" applyFill="1" applyBorder="1" applyAlignment="1">
      <alignment vertical="center"/>
    </xf>
    <xf numFmtId="192" fontId="27" fillId="3" borderId="6" xfId="1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192" fontId="3" fillId="4" borderId="6" xfId="1" applyNumberFormat="1" applyFont="1" applyFill="1" applyBorder="1" applyAlignment="1">
      <alignment vertical="center"/>
    </xf>
    <xf numFmtId="192" fontId="5" fillId="4" borderId="17" xfId="1" applyNumberFormat="1" applyFont="1" applyFill="1" applyBorder="1" applyAlignment="1">
      <alignment vertical="center"/>
    </xf>
    <xf numFmtId="192" fontId="26" fillId="4" borderId="9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vertical="center"/>
    </xf>
    <xf numFmtId="0" fontId="0" fillId="0" borderId="2" xfId="0" applyBorder="1"/>
    <xf numFmtId="192" fontId="5" fillId="4" borderId="12" xfId="1" applyNumberFormat="1" applyFont="1" applyFill="1" applyBorder="1" applyAlignment="1">
      <alignment vertical="center"/>
    </xf>
    <xf numFmtId="192" fontId="27" fillId="3" borderId="2" xfId="1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192" fontId="3" fillId="4" borderId="16" xfId="1" applyNumberFormat="1" applyFont="1" applyFill="1" applyBorder="1" applyAlignment="1">
      <alignment vertical="center"/>
    </xf>
    <xf numFmtId="192" fontId="5" fillId="4" borderId="18" xfId="1" applyNumberFormat="1" applyFont="1" applyFill="1" applyBorder="1" applyAlignment="1">
      <alignment vertical="center"/>
    </xf>
    <xf numFmtId="192" fontId="26" fillId="4" borderId="18" xfId="1" applyNumberFormat="1" applyFont="1" applyFill="1" applyBorder="1" applyAlignment="1">
      <alignment vertical="center"/>
    </xf>
    <xf numFmtId="192" fontId="27" fillId="4" borderId="16" xfId="1" applyNumberFormat="1" applyFont="1" applyFill="1" applyBorder="1" applyAlignment="1">
      <alignment vertical="center"/>
    </xf>
    <xf numFmtId="192" fontId="5" fillId="0" borderId="6" xfId="1" applyNumberFormat="1" applyFont="1" applyFill="1" applyBorder="1" applyAlignment="1">
      <alignment vertical="center"/>
    </xf>
    <xf numFmtId="192" fontId="5" fillId="0" borderId="17" xfId="1" applyNumberFormat="1" applyFont="1" applyFill="1" applyBorder="1" applyAlignment="1">
      <alignment vertical="center"/>
    </xf>
    <xf numFmtId="192" fontId="5" fillId="0" borderId="9" xfId="1" applyNumberFormat="1" applyFont="1" applyFill="1" applyBorder="1" applyAlignment="1">
      <alignment vertical="center"/>
    </xf>
    <xf numFmtId="192" fontId="5" fillId="0" borderId="4" xfId="1" applyNumberFormat="1" applyFont="1" applyFill="1" applyBorder="1" applyAlignment="1">
      <alignment vertical="center"/>
    </xf>
    <xf numFmtId="192" fontId="5" fillId="0" borderId="1" xfId="1" applyNumberFormat="1" applyFont="1" applyFill="1" applyBorder="1" applyAlignment="1">
      <alignment vertical="center"/>
    </xf>
    <xf numFmtId="192" fontId="3" fillId="0" borderId="1" xfId="1" applyNumberFormat="1" applyFont="1" applyFill="1" applyBorder="1" applyAlignment="1">
      <alignment vertical="center"/>
    </xf>
    <xf numFmtId="192" fontId="5" fillId="0" borderId="12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92" fontId="3" fillId="2" borderId="1" xfId="1" applyNumberFormat="1" applyFont="1" applyFill="1" applyBorder="1" applyAlignment="1">
      <alignment vertical="center"/>
    </xf>
    <xf numFmtId="192" fontId="5" fillId="2" borderId="1" xfId="1" applyNumberFormat="1" applyFont="1" applyFill="1" applyBorder="1" applyAlignment="1">
      <alignment vertical="center"/>
    </xf>
    <xf numFmtId="192" fontId="26" fillId="2" borderId="1" xfId="1" applyNumberFormat="1" applyFont="1" applyFill="1" applyBorder="1" applyAlignment="1">
      <alignment vertical="center"/>
    </xf>
    <xf numFmtId="192" fontId="27" fillId="2" borderId="1" xfId="1" applyNumberFormat="1" applyFont="1" applyFill="1" applyBorder="1" applyAlignment="1">
      <alignment vertical="center"/>
    </xf>
    <xf numFmtId="192" fontId="27" fillId="5" borderId="2" xfId="1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192" fontId="3" fillId="3" borderId="16" xfId="1" applyNumberFormat="1" applyFont="1" applyFill="1" applyBorder="1" applyAlignment="1">
      <alignment vertical="center"/>
    </xf>
    <xf numFmtId="192" fontId="5" fillId="3" borderId="16" xfId="1" applyNumberFormat="1" applyFont="1" applyFill="1" applyBorder="1" applyAlignment="1">
      <alignment vertical="center"/>
    </xf>
    <xf numFmtId="192" fontId="26" fillId="3" borderId="16" xfId="1" applyNumberFormat="1" applyFont="1" applyFill="1" applyBorder="1" applyAlignment="1">
      <alignment vertical="center"/>
    </xf>
    <xf numFmtId="192" fontId="27" fillId="3" borderId="16" xfId="1" applyNumberFormat="1" applyFont="1" applyFill="1" applyBorder="1" applyAlignment="1">
      <alignment vertical="center"/>
    </xf>
    <xf numFmtId="192" fontId="5" fillId="0" borderId="2" xfId="1" applyNumberFormat="1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192" fontId="3" fillId="5" borderId="16" xfId="1" applyNumberFormat="1" applyFont="1" applyFill="1" applyBorder="1" applyAlignment="1">
      <alignment vertical="center"/>
    </xf>
    <xf numFmtId="192" fontId="5" fillId="5" borderId="16" xfId="1" applyNumberFormat="1" applyFont="1" applyFill="1" applyBorder="1" applyAlignment="1">
      <alignment vertical="center"/>
    </xf>
    <xf numFmtId="192" fontId="26" fillId="5" borderId="16" xfId="1" applyNumberFormat="1" applyFont="1" applyFill="1" applyBorder="1" applyAlignment="1">
      <alignment vertical="center"/>
    </xf>
    <xf numFmtId="192" fontId="27" fillId="5" borderId="16" xfId="1" applyNumberFormat="1" applyFont="1" applyFill="1" applyBorder="1" applyAlignment="1">
      <alignment vertical="center"/>
    </xf>
    <xf numFmtId="192" fontId="27" fillId="2" borderId="6" xfId="1" applyNumberFormat="1" applyFont="1" applyFill="1" applyBorder="1" applyAlignment="1">
      <alignment vertical="center"/>
    </xf>
    <xf numFmtId="192" fontId="5" fillId="12" borderId="6" xfId="1" applyNumberFormat="1" applyFont="1" applyFill="1" applyBorder="1" applyAlignment="1">
      <alignment vertical="center"/>
    </xf>
    <xf numFmtId="192" fontId="3" fillId="12" borderId="6" xfId="1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192" fontId="3" fillId="2" borderId="16" xfId="1" applyNumberFormat="1" applyFont="1" applyFill="1" applyBorder="1" applyAlignment="1">
      <alignment vertical="center"/>
    </xf>
    <xf numFmtId="192" fontId="5" fillId="2" borderId="16" xfId="1" applyNumberFormat="1" applyFont="1" applyFill="1" applyBorder="1" applyAlignment="1">
      <alignment vertical="center"/>
    </xf>
    <xf numFmtId="192" fontId="26" fillId="2" borderId="16" xfId="1" applyNumberFormat="1" applyFont="1" applyFill="1" applyBorder="1" applyAlignment="1">
      <alignment vertical="center"/>
    </xf>
    <xf numFmtId="192" fontId="27" fillId="2" borderId="16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28" fillId="7" borderId="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/>
    <xf numFmtId="1" fontId="18" fillId="0" borderId="1" xfId="0" applyNumberFormat="1" applyFont="1" applyBorder="1" applyAlignment="1" applyProtection="1">
      <alignment horizontal="center"/>
    </xf>
    <xf numFmtId="1" fontId="18" fillId="0" borderId="1" xfId="0" applyNumberFormat="1" applyFont="1" applyBorder="1" applyProtection="1"/>
    <xf numFmtId="1" fontId="0" fillId="0" borderId="0" xfId="0" applyNumberFormat="1"/>
    <xf numFmtId="1" fontId="0" fillId="0" borderId="0" xfId="0" applyNumberFormat="1" applyAlignment="1">
      <alignment horizontal="center"/>
    </xf>
    <xf numFmtId="3" fontId="25" fillId="7" borderId="1" xfId="0" applyNumberFormat="1" applyFont="1" applyFill="1" applyBorder="1"/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 applyProtection="1">
      <alignment horizontal="center"/>
      <protection locked="0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1" xfId="0" quotePrefix="1" applyFont="1" applyBorder="1"/>
    <xf numFmtId="0" fontId="30" fillId="0" borderId="2" xfId="0" applyFont="1" applyBorder="1"/>
    <xf numFmtId="0" fontId="31" fillId="0" borderId="2" xfId="0" quotePrefix="1" applyFont="1" applyBorder="1"/>
    <xf numFmtId="0" fontId="31" fillId="0" borderId="6" xfId="0" quotePrefix="1" applyFont="1" applyBorder="1"/>
    <xf numFmtId="0" fontId="30" fillId="0" borderId="4" xfId="0" applyFont="1" applyBorder="1"/>
    <xf numFmtId="0" fontId="31" fillId="0" borderId="4" xfId="0" quotePrefix="1" applyFont="1" applyBorder="1"/>
    <xf numFmtId="0" fontId="31" fillId="0" borderId="6" xfId="0" applyFont="1" applyBorder="1"/>
    <xf numFmtId="0" fontId="31" fillId="0" borderId="4" xfId="0" applyFont="1" applyBorder="1"/>
    <xf numFmtId="0" fontId="30" fillId="0" borderId="4" xfId="0" quotePrefix="1" applyFont="1" applyBorder="1"/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13" borderId="4" xfId="0" applyFont="1" applyFill="1" applyBorder="1" applyAlignment="1" applyProtection="1">
      <alignment horizontal="center" vertical="center"/>
      <protection locked="0"/>
    </xf>
    <xf numFmtId="0" fontId="18" fillId="13" borderId="2" xfId="0" applyFont="1" applyFill="1" applyBorder="1" applyAlignment="1" applyProtection="1">
      <alignment horizontal="center" vertical="center"/>
      <protection locked="0"/>
    </xf>
    <xf numFmtId="0" fontId="18" fillId="13" borderId="6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189" fontId="18" fillId="6" borderId="1" xfId="0" applyNumberFormat="1" applyFont="1" applyFill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 applyProtection="1">
      <alignment horizontal="center"/>
      <protection locked="0"/>
    </xf>
    <xf numFmtId="49" fontId="18" fillId="6" borderId="4" xfId="0" applyNumberFormat="1" applyFont="1" applyFill="1" applyBorder="1" applyAlignment="1" applyProtection="1">
      <alignment horizontal="center" vertical="center"/>
      <protection locked="0"/>
    </xf>
    <xf numFmtId="3" fontId="33" fillId="14" borderId="1" xfId="0" applyNumberFormat="1" applyFont="1" applyFill="1" applyBorder="1" applyAlignment="1" applyProtection="1">
      <alignment horizontal="right"/>
    </xf>
    <xf numFmtId="3" fontId="33" fillId="14" borderId="1" xfId="0" applyNumberFormat="1" applyFont="1" applyFill="1" applyBorder="1" applyProtection="1"/>
    <xf numFmtId="3" fontId="33" fillId="15" borderId="1" xfId="0" applyNumberFormat="1" applyFont="1" applyFill="1" applyBorder="1" applyAlignment="1" applyProtection="1">
      <alignment horizontal="center"/>
    </xf>
    <xf numFmtId="0" fontId="18" fillId="16" borderId="4" xfId="0" applyFont="1" applyFill="1" applyBorder="1" applyAlignment="1" applyProtection="1">
      <alignment horizontal="center"/>
      <protection locked="0"/>
    </xf>
    <xf numFmtId="0" fontId="18" fillId="16" borderId="4" xfId="0" applyFont="1" applyFill="1" applyBorder="1" applyAlignment="1" applyProtection="1">
      <alignment horizontal="center" vertical="center"/>
      <protection locked="0"/>
    </xf>
    <xf numFmtId="0" fontId="18" fillId="16" borderId="6" xfId="0" applyFont="1" applyFill="1" applyBorder="1" applyAlignment="1" applyProtection="1">
      <alignment horizontal="center" vertical="center"/>
      <protection locked="0"/>
    </xf>
    <xf numFmtId="0" fontId="18" fillId="16" borderId="6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/>
      <protection locked="0"/>
    </xf>
    <xf numFmtId="0" fontId="18" fillId="6" borderId="17" xfId="0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0" fontId="19" fillId="0" borderId="0" xfId="0" applyFont="1" applyBorder="1"/>
    <xf numFmtId="0" fontId="2" fillId="0" borderId="0" xfId="0" applyFont="1" applyBorder="1" applyAlignment="1">
      <alignment horizontal="center"/>
    </xf>
    <xf numFmtId="0" fontId="21" fillId="17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9" fillId="17" borderId="2" xfId="0" applyFont="1" applyFill="1" applyBorder="1" applyAlignment="1">
      <alignment horizontal="center"/>
    </xf>
    <xf numFmtId="0" fontId="19" fillId="17" borderId="6" xfId="0" applyFont="1" applyFill="1" applyBorder="1" applyAlignment="1">
      <alignment horizontal="center"/>
    </xf>
    <xf numFmtId="0" fontId="32" fillId="7" borderId="4" xfId="0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/>
    <xf numFmtId="3" fontId="0" fillId="0" borderId="0" xfId="0" applyNumberFormat="1"/>
    <xf numFmtId="0" fontId="18" fillId="6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6" fillId="0" borderId="1" xfId="0" applyFont="1" applyBorder="1"/>
    <xf numFmtId="0" fontId="16" fillId="17" borderId="2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6" fillId="17" borderId="6" xfId="0" applyFont="1" applyFill="1" applyBorder="1" applyAlignment="1">
      <alignment horizontal="center"/>
    </xf>
    <xf numFmtId="0" fontId="20" fillId="0" borderId="1" xfId="0" applyFont="1" applyBorder="1" applyAlignment="1"/>
    <xf numFmtId="0" fontId="1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4" fillId="14" borderId="1" xfId="0" applyFont="1" applyFill="1" applyBorder="1" applyAlignment="1" applyProtection="1">
      <alignment horizontal="center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15" fontId="18" fillId="6" borderId="4" xfId="0" applyNumberFormat="1" applyFont="1" applyFill="1" applyBorder="1" applyAlignment="1" applyProtection="1">
      <alignment horizontal="center" vertical="center"/>
      <protection locked="0"/>
    </xf>
    <xf numFmtId="0" fontId="19" fillId="17" borderId="6" xfId="0" applyNumberFormat="1" applyFont="1" applyFill="1" applyBorder="1" applyAlignment="1">
      <alignment horizontal="center"/>
    </xf>
    <xf numFmtId="1" fontId="35" fillId="6" borderId="1" xfId="0" applyNumberFormat="1" applyFont="1" applyFill="1" applyBorder="1" applyAlignment="1" applyProtection="1">
      <alignment horizontal="center"/>
    </xf>
    <xf numFmtId="0" fontId="35" fillId="6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19" borderId="12" xfId="0" applyFill="1" applyBorder="1" applyAlignment="1"/>
    <xf numFmtId="0" fontId="0" fillId="19" borderId="19" xfId="0" applyFill="1" applyBorder="1" applyAlignment="1"/>
    <xf numFmtId="0" fontId="0" fillId="19" borderId="11" xfId="0" applyFill="1" applyBorder="1" applyAlignment="1"/>
    <xf numFmtId="0" fontId="21" fillId="0" borderId="1" xfId="0" applyFont="1" applyBorder="1" applyAlignment="1">
      <alignment horizontal="center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6" borderId="7" xfId="0" applyFont="1" applyFill="1" applyBorder="1" applyAlignment="1" applyProtection="1">
      <alignment horizontal="center" vertical="center"/>
      <protection locked="0"/>
    </xf>
    <xf numFmtId="0" fontId="18" fillId="10" borderId="7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/>
    </xf>
    <xf numFmtId="188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0" fillId="7" borderId="0" xfId="0" applyFill="1"/>
    <xf numFmtId="190" fontId="35" fillId="6" borderId="1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3" fontId="8" fillId="0" borderId="1" xfId="0" applyNumberFormat="1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191" fontId="18" fillId="0" borderId="1" xfId="0" applyNumberFormat="1" applyFont="1" applyFill="1" applyBorder="1" applyProtection="1"/>
    <xf numFmtId="3" fontId="35" fillId="6" borderId="1" xfId="0" applyNumberFormat="1" applyFont="1" applyFill="1" applyBorder="1" applyAlignment="1" applyProtection="1">
      <alignment horizontal="center"/>
    </xf>
    <xf numFmtId="0" fontId="35" fillId="6" borderId="1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191" fontId="18" fillId="0" borderId="1" xfId="0" applyNumberFormat="1" applyFont="1" applyFill="1" applyBorder="1" applyAlignment="1" applyProtection="1">
      <alignment horizontal="center"/>
    </xf>
    <xf numFmtId="0" fontId="8" fillId="14" borderId="9" xfId="0" applyFont="1" applyFill="1" applyBorder="1" applyAlignment="1" applyProtection="1">
      <alignment horizontal="center"/>
      <protection locked="0"/>
    </xf>
    <xf numFmtId="0" fontId="8" fillId="14" borderId="17" xfId="0" applyFont="1" applyFill="1" applyBorder="1" applyAlignment="1" applyProtection="1">
      <alignment horizontal="center"/>
      <protection locked="0"/>
    </xf>
    <xf numFmtId="0" fontId="8" fillId="14" borderId="4" xfId="0" applyFont="1" applyFill="1" applyBorder="1" applyAlignment="1" applyProtection="1">
      <alignment horizontal="center"/>
      <protection locked="0"/>
    </xf>
    <xf numFmtId="0" fontId="8" fillId="14" borderId="6" xfId="0" applyFont="1" applyFill="1" applyBorder="1" applyAlignment="1" applyProtection="1">
      <alignment horizontal="center"/>
      <protection locked="0"/>
    </xf>
    <xf numFmtId="191" fontId="35" fillId="6" borderId="1" xfId="0" applyNumberFormat="1" applyFont="1" applyFill="1" applyBorder="1" applyProtection="1"/>
    <xf numFmtId="0" fontId="19" fillId="17" borderId="17" xfId="0" applyFont="1" applyFill="1" applyBorder="1" applyAlignment="1">
      <alignment vertical="center" wrapText="1"/>
    </xf>
    <xf numFmtId="0" fontId="19" fillId="17" borderId="7" xfId="0" applyFont="1" applyFill="1" applyBorder="1" applyAlignment="1">
      <alignment vertical="center" wrapText="1"/>
    </xf>
    <xf numFmtId="0" fontId="21" fillId="0" borderId="1" xfId="0" applyFont="1" applyBorder="1"/>
    <xf numFmtId="188" fontId="21" fillId="0" borderId="1" xfId="0" applyNumberFormat="1" applyFont="1" applyBorder="1" applyAlignment="1">
      <alignment horizontal="center"/>
    </xf>
    <xf numFmtId="0" fontId="21" fillId="0" borderId="12" xfId="0" applyFont="1" applyBorder="1"/>
    <xf numFmtId="3" fontId="8" fillId="0" borderId="1" xfId="0" applyNumberFormat="1" applyFont="1" applyFill="1" applyBorder="1" applyAlignment="1" applyProtection="1">
      <alignment horizontal="center"/>
    </xf>
    <xf numFmtId="3" fontId="34" fillId="14" borderId="1" xfId="0" applyNumberFormat="1" applyFont="1" applyFill="1" applyBorder="1" applyAlignment="1" applyProtection="1">
      <alignment horizontal="center"/>
    </xf>
    <xf numFmtId="0" fontId="30" fillId="0" borderId="6" xfId="0" applyFont="1" applyBorder="1"/>
    <xf numFmtId="0" fontId="24" fillId="14" borderId="1" xfId="0" applyFont="1" applyFill="1" applyBorder="1" applyAlignment="1" applyProtection="1">
      <alignment horizontal="center"/>
    </xf>
    <xf numFmtId="3" fontId="25" fillId="14" borderId="1" xfId="0" applyNumberFormat="1" applyFont="1" applyFill="1" applyBorder="1" applyProtection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9" fillId="17" borderId="12" xfId="0" applyFont="1" applyFill="1" applyBorder="1" applyAlignment="1">
      <alignment horizontal="center"/>
    </xf>
    <xf numFmtId="0" fontId="19" fillId="17" borderId="19" xfId="0" applyFont="1" applyFill="1" applyBorder="1" applyAlignment="1">
      <alignment horizontal="center"/>
    </xf>
    <xf numFmtId="0" fontId="19" fillId="17" borderId="11" xfId="0" applyFont="1" applyFill="1" applyBorder="1" applyAlignment="1">
      <alignment horizont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center"/>
    </xf>
    <xf numFmtId="0" fontId="19" fillId="17" borderId="7" xfId="0" applyFont="1" applyFill="1" applyBorder="1" applyAlignment="1">
      <alignment horizontal="center"/>
    </xf>
    <xf numFmtId="0" fontId="19" fillId="17" borderId="8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0" fontId="36" fillId="7" borderId="12" xfId="0" applyFont="1" applyFill="1" applyBorder="1" applyAlignment="1">
      <alignment horizontal="center" shrinkToFit="1"/>
    </xf>
    <xf numFmtId="0" fontId="36" fillId="7" borderId="11" xfId="0" applyFont="1" applyFill="1" applyBorder="1" applyAlignment="1">
      <alignment horizontal="center" shrinkToFit="1"/>
    </xf>
    <xf numFmtId="0" fontId="21" fillId="0" borderId="1" xfId="0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17" borderId="0" xfId="0" applyFont="1" applyFill="1" applyAlignment="1"/>
    <xf numFmtId="4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1" fillId="17" borderId="12" xfId="0" applyFont="1" applyFill="1" applyBorder="1" applyAlignment="1">
      <alignment horizontal="center"/>
    </xf>
    <xf numFmtId="0" fontId="21" fillId="17" borderId="11" xfId="0" applyFont="1" applyFill="1" applyBorder="1" applyAlignment="1">
      <alignment horizontal="center"/>
    </xf>
    <xf numFmtId="0" fontId="19" fillId="17" borderId="2" xfId="0" applyFont="1" applyFill="1" applyBorder="1" applyAlignment="1">
      <alignment horizontal="center"/>
    </xf>
    <xf numFmtId="0" fontId="19" fillId="17" borderId="6" xfId="0" applyFont="1" applyFill="1" applyBorder="1" applyAlignment="1">
      <alignment horizontal="center"/>
    </xf>
    <xf numFmtId="0" fontId="21" fillId="17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7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/>
    </xf>
    <xf numFmtId="0" fontId="21" fillId="0" borderId="1" xfId="0" applyFont="1" applyBorder="1" applyAlignment="1"/>
    <xf numFmtId="4" fontId="20" fillId="0" borderId="12" xfId="0" applyNumberFormat="1" applyFont="1" applyBorder="1" applyAlignment="1">
      <alignment horizontal="right"/>
    </xf>
    <xf numFmtId="4" fontId="20" fillId="0" borderId="11" xfId="0" applyNumberFormat="1" applyFont="1" applyBorder="1" applyAlignment="1">
      <alignment horizontal="right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5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shrinkToFit="1"/>
    </xf>
    <xf numFmtId="1" fontId="2" fillId="0" borderId="1" xfId="0" applyNumberFormat="1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19" fillId="17" borderId="2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3" fontId="20" fillId="7" borderId="1" xfId="0" applyNumberFormat="1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3" fontId="20" fillId="7" borderId="12" xfId="0" applyNumberFormat="1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18" fillId="6" borderId="17" xfId="0" applyFont="1" applyFill="1" applyBorder="1" applyAlignment="1" applyProtection="1">
      <alignment horizontal="center" vertical="center"/>
      <protection locked="0"/>
    </xf>
    <xf numFmtId="0" fontId="18" fillId="6" borderId="7" xfId="0" applyFont="1" applyFill="1" applyBorder="1" applyAlignment="1" applyProtection="1">
      <alignment horizontal="center" vertical="center"/>
      <protection locked="0"/>
    </xf>
    <xf numFmtId="0" fontId="18" fillId="10" borderId="12" xfId="0" applyFont="1" applyFill="1" applyBorder="1" applyAlignment="1" applyProtection="1">
      <alignment horizontal="center" vertical="center"/>
      <protection locked="0"/>
    </xf>
    <xf numFmtId="0" fontId="18" fillId="10" borderId="19" xfId="0" applyFont="1" applyFill="1" applyBorder="1" applyAlignment="1" applyProtection="1">
      <alignment horizontal="center" vertical="center"/>
      <protection locked="0"/>
    </xf>
    <xf numFmtId="0" fontId="18" fillId="10" borderId="17" xfId="0" applyFont="1" applyFill="1" applyBorder="1" applyAlignment="1" applyProtection="1">
      <alignment horizontal="center" vertical="center"/>
      <protection locked="0"/>
    </xf>
    <xf numFmtId="0" fontId="18" fillId="10" borderId="7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 applyProtection="1">
      <alignment horizontal="center" vertical="center"/>
      <protection locked="0"/>
    </xf>
    <xf numFmtId="0" fontId="18" fillId="13" borderId="19" xfId="0" applyFont="1" applyFill="1" applyBorder="1" applyAlignment="1" applyProtection="1">
      <alignment horizontal="center" vertical="center"/>
      <protection locked="0"/>
    </xf>
    <xf numFmtId="0" fontId="18" fillId="10" borderId="10" xfId="0" applyFont="1" applyFill="1" applyBorder="1" applyAlignment="1" applyProtection="1">
      <alignment horizontal="center" vertical="center"/>
      <protection locked="0"/>
    </xf>
    <xf numFmtId="0" fontId="18" fillId="9" borderId="12" xfId="0" applyFont="1" applyFill="1" applyBorder="1" applyAlignment="1" applyProtection="1">
      <alignment horizontal="center" vertical="center"/>
      <protection locked="0"/>
    </xf>
    <xf numFmtId="0" fontId="18" fillId="9" borderId="19" xfId="0" applyFont="1" applyFill="1" applyBorder="1" applyAlignment="1" applyProtection="1">
      <alignment horizontal="center" vertical="center"/>
      <protection locked="0"/>
    </xf>
    <xf numFmtId="0" fontId="20" fillId="7" borderId="12" xfId="0" applyFont="1" applyFill="1" applyBorder="1" applyAlignment="1" applyProtection="1">
      <alignment horizontal="center" vertical="center"/>
      <protection locked="0"/>
    </xf>
    <xf numFmtId="0" fontId="20" fillId="7" borderId="19" xfId="0" applyFont="1" applyFill="1" applyBorder="1" applyAlignment="1" applyProtection="1">
      <alignment horizontal="center" vertical="center"/>
      <protection locked="0"/>
    </xf>
    <xf numFmtId="0" fontId="18" fillId="10" borderId="11" xfId="0" applyFont="1" applyFill="1" applyBorder="1" applyAlignment="1" applyProtection="1">
      <alignment horizontal="center" vertical="center"/>
      <protection locked="0"/>
    </xf>
    <xf numFmtId="0" fontId="18" fillId="9" borderId="11" xfId="0" applyFont="1" applyFill="1" applyBorder="1" applyAlignment="1" applyProtection="1">
      <alignment horizontal="center" vertical="center"/>
      <protection locked="0"/>
    </xf>
    <xf numFmtId="0" fontId="18" fillId="9" borderId="17" xfId="0" applyFont="1" applyFill="1" applyBorder="1" applyAlignment="1" applyProtection="1">
      <alignment horizontal="center" vertical="center"/>
      <protection locked="0"/>
    </xf>
    <xf numFmtId="0" fontId="18" fillId="9" borderId="10" xfId="0" applyFont="1" applyFill="1" applyBorder="1" applyAlignment="1" applyProtection="1">
      <alignment horizontal="center" vertical="center"/>
      <protection locked="0"/>
    </xf>
    <xf numFmtId="0" fontId="18" fillId="9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4" xfId="0" applyFont="1" applyFill="1" applyBorder="1" applyAlignment="1" applyProtection="1">
      <alignment horizontal="center" vertical="center" wrapText="1"/>
      <protection locked="0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18" fillId="7" borderId="8" xfId="0" applyFont="1" applyFill="1" applyBorder="1" applyAlignment="1" applyProtection="1">
      <alignment horizontal="center" vertical="center"/>
      <protection locked="0"/>
    </xf>
    <xf numFmtId="0" fontId="18" fillId="7" borderId="20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5" fontId="18" fillId="7" borderId="17" xfId="0" applyNumberFormat="1" applyFont="1" applyFill="1" applyBorder="1" applyAlignment="1" applyProtection="1">
      <alignment horizontal="center" vertical="center"/>
      <protection locked="0"/>
    </xf>
    <xf numFmtId="0" fontId="18" fillId="7" borderId="10" xfId="0" applyFont="1" applyFill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24" fillId="9" borderId="17" xfId="0" applyFont="1" applyFill="1" applyBorder="1" applyAlignment="1" applyProtection="1">
      <alignment horizontal="center" vertical="center"/>
      <protection locked="0"/>
    </xf>
    <xf numFmtId="0" fontId="24" fillId="9" borderId="10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24" fillId="9" borderId="7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 applyProtection="1">
      <alignment horizontal="center" vertical="center"/>
      <protection locked="0"/>
    </xf>
    <xf numFmtId="0" fontId="24" fillId="8" borderId="19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24" fillId="10" borderId="12" xfId="0" applyFont="1" applyFill="1" applyBorder="1" applyAlignment="1" applyProtection="1">
      <alignment horizontal="center" vertical="center"/>
      <protection locked="0"/>
    </xf>
    <xf numFmtId="0" fontId="24" fillId="10" borderId="19" xfId="0" applyFont="1" applyFill="1" applyBorder="1" applyAlignment="1" applyProtection="1">
      <alignment horizontal="center" vertical="center"/>
      <protection locked="0"/>
    </xf>
    <xf numFmtId="0" fontId="18" fillId="16" borderId="17" xfId="0" applyFont="1" applyFill="1" applyBorder="1" applyAlignment="1" applyProtection="1">
      <alignment horizontal="center"/>
      <protection locked="0"/>
    </xf>
    <xf numFmtId="0" fontId="18" fillId="16" borderId="10" xfId="0" applyFont="1" applyFill="1" applyBorder="1" applyAlignment="1" applyProtection="1">
      <alignment horizontal="center"/>
      <protection locked="0"/>
    </xf>
    <xf numFmtId="0" fontId="18" fillId="8" borderId="17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center"/>
    </xf>
    <xf numFmtId="0" fontId="24" fillId="6" borderId="1" xfId="0" applyFont="1" applyFill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9" xfId="0" applyFont="1" applyFill="1" applyBorder="1" applyAlignment="1" applyProtection="1">
      <alignment horizontal="center"/>
      <protection locked="0"/>
    </xf>
    <xf numFmtId="0" fontId="18" fillId="7" borderId="17" xfId="0" applyFont="1" applyFill="1" applyBorder="1" applyAlignment="1" applyProtection="1">
      <alignment horizontal="center" vertical="center"/>
      <protection locked="0"/>
    </xf>
    <xf numFmtId="0" fontId="18" fillId="7" borderId="7" xfId="0" applyFont="1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8" fillId="6" borderId="20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4" fillId="16" borderId="8" xfId="0" applyFont="1" applyFill="1" applyBorder="1" applyAlignment="1" applyProtection="1">
      <alignment horizontal="center"/>
      <protection locked="0"/>
    </xf>
    <xf numFmtId="0" fontId="24" fillId="16" borderId="20" xfId="0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>
      <alignment horizontal="center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24" fillId="8" borderId="9" xfId="0" applyFont="1" applyFill="1" applyBorder="1" applyAlignment="1" applyProtection="1">
      <alignment horizontal="center" vertical="center"/>
      <protection locked="0"/>
    </xf>
    <xf numFmtId="0" fontId="24" fillId="8" borderId="5" xfId="0" applyFont="1" applyFill="1" applyBorder="1" applyAlignment="1" applyProtection="1">
      <alignment horizontal="center" vertical="center"/>
      <protection locked="0"/>
    </xf>
    <xf numFmtId="0" fontId="24" fillId="8" borderId="17" xfId="0" applyFont="1" applyFill="1" applyBorder="1" applyAlignment="1" applyProtection="1">
      <alignment horizontal="center" vertical="center"/>
      <protection locked="0"/>
    </xf>
    <xf numFmtId="0" fontId="24" fillId="8" borderId="10" xfId="0" applyFont="1" applyFill="1" applyBorder="1" applyAlignment="1" applyProtection="1">
      <alignment horizontal="center" vertical="center"/>
      <protection locked="0"/>
    </xf>
    <xf numFmtId="0" fontId="24" fillId="8" borderId="7" xfId="0" applyFont="1" applyFill="1" applyBorder="1" applyAlignment="1" applyProtection="1">
      <alignment horizontal="center" vertical="center"/>
      <protection locked="0"/>
    </xf>
    <xf numFmtId="0" fontId="0" fillId="14" borderId="8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24" fillId="6" borderId="12" xfId="0" applyFont="1" applyFill="1" applyBorder="1" applyAlignment="1" applyProtection="1">
      <alignment horizontal="center" vertical="center"/>
      <protection locked="0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0" fontId="24" fillId="6" borderId="11" xfId="0" applyFont="1" applyFill="1" applyBorder="1" applyAlignment="1" applyProtection="1">
      <alignment horizontal="center" vertical="center"/>
      <protection locked="0"/>
    </xf>
    <xf numFmtId="0" fontId="24" fillId="9" borderId="12" xfId="0" applyFont="1" applyFill="1" applyBorder="1" applyAlignment="1" applyProtection="1">
      <alignment horizontal="center" vertical="center"/>
      <protection locked="0"/>
    </xf>
    <xf numFmtId="0" fontId="24" fillId="9" borderId="19" xfId="0" applyFont="1" applyFill="1" applyBorder="1" applyAlignment="1" applyProtection="1">
      <alignment horizontal="center" vertical="center"/>
      <protection locked="0"/>
    </xf>
    <xf numFmtId="0" fontId="24" fillId="9" borderId="11" xfId="0" applyFont="1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4" fillId="10" borderId="8" xfId="0" applyFont="1" applyFill="1" applyBorder="1" applyAlignment="1" applyProtection="1">
      <alignment horizontal="center" vertical="center"/>
      <protection locked="0"/>
    </xf>
    <xf numFmtId="0" fontId="24" fillId="10" borderId="20" xfId="0" applyFont="1" applyFill="1" applyBorder="1" applyAlignment="1" applyProtection="1">
      <alignment horizontal="center" vertical="center"/>
      <protection locked="0"/>
    </xf>
    <xf numFmtId="0" fontId="24" fillId="16" borderId="17" xfId="0" applyFont="1" applyFill="1" applyBorder="1" applyAlignment="1" applyProtection="1">
      <alignment horizontal="center"/>
      <protection locked="0"/>
    </xf>
    <xf numFmtId="0" fontId="24" fillId="16" borderId="10" xfId="0" applyFont="1" applyFill="1" applyBorder="1" applyAlignment="1" applyProtection="1">
      <alignment horizontal="center"/>
      <protection locked="0"/>
    </xf>
    <xf numFmtId="0" fontId="24" fillId="16" borderId="7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92" fontId="4" fillId="0" borderId="12" xfId="1" applyNumberFormat="1" applyFont="1" applyBorder="1" applyAlignment="1">
      <alignment horizontal="center" vertical="center"/>
    </xf>
    <xf numFmtId="192" fontId="4" fillId="0" borderId="19" xfId="1" applyNumberFormat="1" applyFont="1" applyBorder="1" applyAlignment="1">
      <alignment horizontal="center" vertical="center"/>
    </xf>
    <xf numFmtId="192" fontId="4" fillId="0" borderId="1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6" workbookViewId="0">
      <selection activeCell="D22" sqref="D22"/>
    </sheetView>
  </sheetViews>
  <sheetFormatPr defaultRowHeight="14.25" x14ac:dyDescent="0.2"/>
  <cols>
    <col min="1" max="1" width="31.25" bestFit="1" customWidth="1"/>
    <col min="2" max="2" width="63.25" bestFit="1" customWidth="1"/>
  </cols>
  <sheetData>
    <row r="1" spans="1:2" ht="21" x14ac:dyDescent="0.35">
      <c r="A1" s="314" t="s">
        <v>232</v>
      </c>
      <c r="B1" s="314"/>
    </row>
    <row r="2" spans="1:2" ht="21" x14ac:dyDescent="0.35">
      <c r="A2" s="210" t="s">
        <v>110</v>
      </c>
      <c r="B2" s="210" t="s">
        <v>111</v>
      </c>
    </row>
    <row r="3" spans="1:2" ht="21" x14ac:dyDescent="0.35">
      <c r="A3" s="211" t="s">
        <v>28</v>
      </c>
      <c r="B3" s="212" t="s">
        <v>143</v>
      </c>
    </row>
    <row r="4" spans="1:2" ht="21" x14ac:dyDescent="0.35">
      <c r="A4" s="211" t="s">
        <v>112</v>
      </c>
      <c r="B4" s="212" t="s">
        <v>234</v>
      </c>
    </row>
    <row r="5" spans="1:2" ht="21" x14ac:dyDescent="0.35">
      <c r="A5" s="213" t="s">
        <v>113</v>
      </c>
      <c r="B5" s="214" t="s">
        <v>235</v>
      </c>
    </row>
    <row r="6" spans="1:2" ht="21" x14ac:dyDescent="0.35">
      <c r="A6" s="216" t="s">
        <v>114</v>
      </c>
      <c r="B6" s="217" t="s">
        <v>233</v>
      </c>
    </row>
    <row r="7" spans="1:2" ht="21" x14ac:dyDescent="0.35">
      <c r="A7" s="219"/>
      <c r="B7" s="217" t="s">
        <v>236</v>
      </c>
    </row>
    <row r="8" spans="1:2" ht="21" x14ac:dyDescent="0.35">
      <c r="A8" s="213" t="s">
        <v>238</v>
      </c>
      <c r="B8" s="214" t="s">
        <v>239</v>
      </c>
    </row>
    <row r="9" spans="1:2" ht="21" x14ac:dyDescent="0.35">
      <c r="A9" s="309"/>
      <c r="B9" s="215" t="s">
        <v>240</v>
      </c>
    </row>
    <row r="10" spans="1:2" ht="21" x14ac:dyDescent="0.35">
      <c r="A10" s="213" t="s">
        <v>237</v>
      </c>
      <c r="B10" s="214" t="s">
        <v>244</v>
      </c>
    </row>
    <row r="11" spans="1:2" ht="21" x14ac:dyDescent="0.35">
      <c r="A11" s="216" t="s">
        <v>241</v>
      </c>
      <c r="B11" s="217" t="s">
        <v>245</v>
      </c>
    </row>
    <row r="12" spans="1:2" ht="21" x14ac:dyDescent="0.35">
      <c r="A12" s="216"/>
      <c r="B12" s="217" t="s">
        <v>246</v>
      </c>
    </row>
    <row r="13" spans="1:2" ht="21" x14ac:dyDescent="0.35">
      <c r="A13" s="216" t="s">
        <v>242</v>
      </c>
      <c r="B13" s="214" t="s">
        <v>244</v>
      </c>
    </row>
    <row r="14" spans="1:2" ht="21" x14ac:dyDescent="0.35">
      <c r="A14" s="216" t="s">
        <v>243</v>
      </c>
      <c r="B14" s="217" t="s">
        <v>245</v>
      </c>
    </row>
    <row r="15" spans="1:2" ht="21" x14ac:dyDescent="0.35">
      <c r="A15" s="218"/>
      <c r="B15" s="217" t="s">
        <v>246</v>
      </c>
    </row>
    <row r="16" spans="1:2" ht="21" x14ac:dyDescent="0.35">
      <c r="A16" s="213" t="s">
        <v>72</v>
      </c>
      <c r="B16" s="214" t="s">
        <v>247</v>
      </c>
    </row>
    <row r="17" spans="1:2" ht="21" x14ac:dyDescent="0.35">
      <c r="A17" s="216" t="s">
        <v>96</v>
      </c>
      <c r="B17" s="219" t="s">
        <v>248</v>
      </c>
    </row>
    <row r="18" spans="1:2" ht="21" x14ac:dyDescent="0.35">
      <c r="A18" s="216" t="s">
        <v>115</v>
      </c>
      <c r="B18" s="217" t="s">
        <v>249</v>
      </c>
    </row>
    <row r="19" spans="1:2" ht="21" x14ac:dyDescent="0.35">
      <c r="A19" s="216"/>
      <c r="B19" s="217" t="s">
        <v>250</v>
      </c>
    </row>
    <row r="20" spans="1:2" ht="21" x14ac:dyDescent="0.35">
      <c r="A20" s="216"/>
      <c r="B20" s="217" t="s">
        <v>251</v>
      </c>
    </row>
    <row r="21" spans="1:2" ht="21" x14ac:dyDescent="0.35">
      <c r="A21" s="217"/>
      <c r="B21" s="217" t="s">
        <v>252</v>
      </c>
    </row>
    <row r="22" spans="1:2" ht="21" x14ac:dyDescent="0.35">
      <c r="A22" s="98"/>
      <c r="B22" s="217" t="s">
        <v>253</v>
      </c>
    </row>
    <row r="23" spans="1:2" ht="21" x14ac:dyDescent="0.35">
      <c r="A23" s="220"/>
      <c r="B23" s="217" t="s">
        <v>254</v>
      </c>
    </row>
    <row r="24" spans="1:2" ht="21" x14ac:dyDescent="0.35">
      <c r="A24" s="217"/>
      <c r="B24" s="217" t="s">
        <v>255</v>
      </c>
    </row>
    <row r="25" spans="1:2" x14ac:dyDescent="0.2">
      <c r="A25" s="98"/>
    </row>
    <row r="26" spans="1:2" ht="21" x14ac:dyDescent="0.35">
      <c r="A26" s="114"/>
      <c r="B26" s="218"/>
    </row>
    <row r="27" spans="1:2" ht="21" x14ac:dyDescent="0.35">
      <c r="A27" s="213" t="s">
        <v>116</v>
      </c>
      <c r="B27" s="214" t="s">
        <v>117</v>
      </c>
    </row>
    <row r="28" spans="1:2" ht="21" x14ac:dyDescent="0.35">
      <c r="A28" s="219"/>
      <c r="B28" s="219" t="s">
        <v>118</v>
      </c>
    </row>
    <row r="29" spans="1:2" ht="21" x14ac:dyDescent="0.35">
      <c r="A29" s="219"/>
      <c r="B29" s="219" t="s">
        <v>119</v>
      </c>
    </row>
    <row r="30" spans="1:2" ht="21" x14ac:dyDescent="0.35">
      <c r="A30" s="218"/>
      <c r="B30" s="218" t="s">
        <v>120</v>
      </c>
    </row>
  </sheetData>
  <mergeCells count="1">
    <mergeCell ref="A1:B1"/>
  </mergeCells>
  <printOptions horizontalCentered="1"/>
  <pageMargins left="0.25" right="0.2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A4" workbookViewId="0">
      <selection activeCell="C8" sqref="C8:D9"/>
    </sheetView>
  </sheetViews>
  <sheetFormatPr defaultRowHeight="14.25" x14ac:dyDescent="0.2"/>
  <cols>
    <col min="1" max="1" width="13.125" customWidth="1"/>
    <col min="2" max="5" width="6.25" customWidth="1"/>
    <col min="6" max="6" width="5.75" bestFit="1" customWidth="1"/>
    <col min="7" max="7" width="5.75" customWidth="1"/>
    <col min="8" max="8" width="5.875" customWidth="1"/>
    <col min="9" max="10" width="6.25" customWidth="1"/>
    <col min="11" max="11" width="4.625" bestFit="1" customWidth="1"/>
    <col min="12" max="13" width="6.25" customWidth="1"/>
    <col min="14" max="14" width="4.625" bestFit="1" customWidth="1"/>
    <col min="15" max="16" width="6.25" customWidth="1"/>
    <col min="17" max="17" width="4.375" customWidth="1"/>
    <col min="18" max="19" width="6.25" customWidth="1"/>
    <col min="20" max="21" width="5.375" customWidth="1"/>
    <col min="22" max="25" width="6.25" customWidth="1"/>
    <col min="26" max="26" width="9.75" bestFit="1" customWidth="1"/>
  </cols>
  <sheetData>
    <row r="1" spans="1:28" ht="23.25" x14ac:dyDescent="0.5">
      <c r="A1" s="332" t="s">
        <v>256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41" t="s">
        <v>144</v>
      </c>
      <c r="X1" s="341"/>
      <c r="Y1" s="341"/>
      <c r="Z1" s="341"/>
      <c r="AA1" s="2"/>
      <c r="AB1" s="2"/>
    </row>
    <row r="2" spans="1:28" ht="24" x14ac:dyDescent="0.55000000000000004">
      <c r="A2" s="63"/>
      <c r="B2" s="63"/>
      <c r="C2" s="63"/>
      <c r="D2" s="63"/>
      <c r="E2" s="63"/>
      <c r="F2" s="63" t="s">
        <v>76</v>
      </c>
      <c r="G2" s="333">
        <f>'บัญชีหมายเลข2(ปี2558)'!C2</f>
        <v>0</v>
      </c>
      <c r="H2" s="333"/>
      <c r="I2" s="333"/>
      <c r="J2" s="333"/>
      <c r="K2" s="333"/>
      <c r="M2" s="53" t="s">
        <v>77</v>
      </c>
      <c r="N2" s="333">
        <f>'บัญชีหมายเลข2(ปี2558)'!F2</f>
        <v>0</v>
      </c>
      <c r="O2" s="333"/>
      <c r="P2" s="333"/>
      <c r="Q2" s="333"/>
      <c r="R2" s="63"/>
      <c r="S2" s="63"/>
      <c r="T2" s="63"/>
      <c r="U2" s="63"/>
      <c r="V2" s="63"/>
      <c r="W2" s="63"/>
      <c r="X2" s="41"/>
      <c r="Y2" s="8"/>
      <c r="Z2" s="2"/>
      <c r="AA2" s="2"/>
      <c r="AB2" s="2"/>
    </row>
    <row r="3" spans="1:28" ht="24" x14ac:dyDescent="0.5500000000000000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41"/>
      <c r="Y3" s="8"/>
      <c r="Z3" s="2"/>
      <c r="AA3" s="2"/>
      <c r="AB3" s="2"/>
    </row>
    <row r="4" spans="1:28" ht="21.75" x14ac:dyDescent="0.5">
      <c r="A4" s="359" t="s">
        <v>37</v>
      </c>
      <c r="B4" s="338" t="s">
        <v>182</v>
      </c>
      <c r="C4" s="338"/>
      <c r="D4" s="338"/>
      <c r="E4" s="324" t="s">
        <v>62</v>
      </c>
      <c r="F4" s="362"/>
      <c r="G4" s="362"/>
      <c r="H4" s="325"/>
      <c r="I4" s="315" t="s">
        <v>184</v>
      </c>
      <c r="J4" s="316"/>
      <c r="K4" s="316"/>
      <c r="L4" s="316"/>
      <c r="M4" s="316"/>
      <c r="N4" s="316"/>
      <c r="O4" s="317"/>
      <c r="P4" s="315" t="s">
        <v>185</v>
      </c>
      <c r="Q4" s="316"/>
      <c r="R4" s="316"/>
      <c r="S4" s="316"/>
      <c r="T4" s="316"/>
      <c r="U4" s="316"/>
      <c r="V4" s="316"/>
      <c r="W4" s="316"/>
      <c r="X4" s="316"/>
      <c r="Y4" s="317"/>
      <c r="Z4" s="260" t="s">
        <v>133</v>
      </c>
      <c r="AA4" s="2"/>
      <c r="AB4" s="2"/>
    </row>
    <row r="5" spans="1:28" ht="21.75" customHeight="1" x14ac:dyDescent="0.5">
      <c r="A5" s="360"/>
      <c r="B5" s="339" t="s">
        <v>183</v>
      </c>
      <c r="C5" s="339"/>
      <c r="D5" s="339"/>
      <c r="E5" s="320" t="s">
        <v>229</v>
      </c>
      <c r="F5" s="342"/>
      <c r="G5" s="342"/>
      <c r="H5" s="321"/>
      <c r="I5" s="315" t="s">
        <v>38</v>
      </c>
      <c r="J5" s="316"/>
      <c r="K5" s="317"/>
      <c r="L5" s="315" t="s">
        <v>39</v>
      </c>
      <c r="M5" s="316"/>
      <c r="N5" s="317"/>
      <c r="O5" s="251" t="s">
        <v>44</v>
      </c>
      <c r="P5" s="315" t="s">
        <v>45</v>
      </c>
      <c r="Q5" s="316"/>
      <c r="R5" s="317"/>
      <c r="S5" s="315" t="s">
        <v>38</v>
      </c>
      <c r="T5" s="316"/>
      <c r="U5" s="317"/>
      <c r="V5" s="315" t="s">
        <v>39</v>
      </c>
      <c r="W5" s="316"/>
      <c r="X5" s="317"/>
      <c r="Y5" s="251" t="s">
        <v>44</v>
      </c>
      <c r="Z5" s="261" t="s">
        <v>134</v>
      </c>
      <c r="AA5" s="2"/>
      <c r="AB5" s="2"/>
    </row>
    <row r="6" spans="1:28" ht="21.75" customHeight="1" x14ac:dyDescent="0.5">
      <c r="A6" s="360"/>
      <c r="B6" s="252" t="s">
        <v>20</v>
      </c>
      <c r="C6" s="252" t="s">
        <v>41</v>
      </c>
      <c r="D6" s="252" t="s">
        <v>20</v>
      </c>
      <c r="E6" s="353" t="s">
        <v>62</v>
      </c>
      <c r="F6" s="354"/>
      <c r="G6" s="353" t="s">
        <v>228</v>
      </c>
      <c r="H6" s="354"/>
      <c r="I6" s="252" t="s">
        <v>20</v>
      </c>
      <c r="J6" s="324" t="s">
        <v>0</v>
      </c>
      <c r="K6" s="325"/>
      <c r="L6" s="252" t="s">
        <v>20</v>
      </c>
      <c r="M6" s="318" t="s">
        <v>0</v>
      </c>
      <c r="N6" s="319"/>
      <c r="O6" s="252" t="s">
        <v>20</v>
      </c>
      <c r="P6" s="252" t="s">
        <v>20</v>
      </c>
      <c r="Q6" s="318" t="s">
        <v>0</v>
      </c>
      <c r="R6" s="319"/>
      <c r="S6" s="252" t="s">
        <v>20</v>
      </c>
      <c r="T6" s="318" t="s">
        <v>0</v>
      </c>
      <c r="U6" s="319"/>
      <c r="V6" s="252" t="s">
        <v>20</v>
      </c>
      <c r="W6" s="318" t="s">
        <v>0</v>
      </c>
      <c r="X6" s="319"/>
      <c r="Y6" s="252" t="s">
        <v>20</v>
      </c>
      <c r="Z6" s="261" t="s">
        <v>135</v>
      </c>
      <c r="AA6" s="2"/>
      <c r="AB6" s="2"/>
    </row>
    <row r="7" spans="1:28" ht="21.75" x14ac:dyDescent="0.5">
      <c r="A7" s="361"/>
      <c r="B7" s="253" t="s">
        <v>40</v>
      </c>
      <c r="C7" s="270">
        <v>15</v>
      </c>
      <c r="D7" s="253" t="s">
        <v>42</v>
      </c>
      <c r="E7" s="302"/>
      <c r="F7" s="303"/>
      <c r="G7" s="302"/>
      <c r="H7" s="303"/>
      <c r="I7" s="253" t="s">
        <v>5</v>
      </c>
      <c r="J7" s="322" t="s">
        <v>43</v>
      </c>
      <c r="K7" s="323"/>
      <c r="L7" s="253" t="s">
        <v>5</v>
      </c>
      <c r="M7" s="320"/>
      <c r="N7" s="321"/>
      <c r="O7" s="253" t="s">
        <v>5</v>
      </c>
      <c r="P7" s="253" t="s">
        <v>5</v>
      </c>
      <c r="Q7" s="320"/>
      <c r="R7" s="321"/>
      <c r="S7" s="253" t="s">
        <v>5</v>
      </c>
      <c r="T7" s="320"/>
      <c r="U7" s="321"/>
      <c r="V7" s="253" t="s">
        <v>5</v>
      </c>
      <c r="W7" s="320"/>
      <c r="X7" s="321"/>
      <c r="Y7" s="253" t="s">
        <v>5</v>
      </c>
      <c r="Z7" s="262" t="s">
        <v>136</v>
      </c>
      <c r="AA7" s="2"/>
      <c r="AB7" s="2"/>
    </row>
    <row r="8" spans="1:28" ht="21.75" x14ac:dyDescent="0.5">
      <c r="A8" s="9" t="s">
        <v>145</v>
      </c>
      <c r="B8" s="203">
        <f>COUNTIF('บัญชีหมายเลข2(ปี2558)'!BF9:BF2000,"คศ.3")+COUNTIF('บัญชีหมายเลข2(ปี2558)'!BF9:BF2000,"คศ.2")+COUNTIF('บัญชีหมายเลข2(ปี2558)'!BF9:BF2000,"คศ.1")+COUNTIF('บัญชีหมายเลข2(ปี2558)'!BF9:BF2000,"ครูผู้ช่วย")</f>
        <v>1</v>
      </c>
      <c r="C8" s="313">
        <f>B8*0.15</f>
        <v>0.15</v>
      </c>
      <c r="D8" s="312">
        <f>ROUND(C8,0)</f>
        <v>0</v>
      </c>
      <c r="E8" s="357">
        <f>SUMIF('บัญชีหมายเลข2(ปี2558)'!GZ9:GZ2000,"ข",'บัญชีหมายเลข2(ปี2558)'!CU9:CU2000)</f>
        <v>0</v>
      </c>
      <c r="F8" s="358"/>
      <c r="G8" s="357">
        <f>E8*0.06</f>
        <v>0</v>
      </c>
      <c r="H8" s="358"/>
      <c r="I8" s="203">
        <f>COUNTIFS('บัญชีหมายเลข2(ปี2558)'!FS9:FS2000,"ข1")</f>
        <v>0</v>
      </c>
      <c r="J8" s="357">
        <f>SUMIF('บัญชีหมายเลข2(ปี2558)'!FS9:FS2000,"ข1",'บัญชีหมายเลข2(ปี2558)'!FT9:FT2000)</f>
        <v>0</v>
      </c>
      <c r="K8" s="358"/>
      <c r="L8" s="203">
        <f>COUNTIF('บัญชีหมายเลข2(ปี2558)'!FS9:FS2000,"ข0.5")-COUNTIFS('บัญชีหมายเลข2(ปี2558)'!FS9:FS2000,"ข0.5",'บัญชีหมายเลข2(ปี2558)'!BQ9:BQ2000,"&lt;4")-COUNTIFS('บัญชีหมายเลข2(ปี2558)'!FS9:FS2000,"ข0.5",'บัญชีหมายเลข2(ปี2558)'!BQ9:BQ2000,"คผช")</f>
        <v>0</v>
      </c>
      <c r="M8" s="357">
        <f>SUMIF('บัญชีหมายเลข2(ปี2558)'!FS9:FS2000,"ข0.5",'บัญชีหมายเลข2(ปี2558)'!FT9:FT2000)</f>
        <v>0</v>
      </c>
      <c r="N8" s="358"/>
      <c r="O8" s="258">
        <f>COUNTIF('บัญชีหมายเลข2(ปี2558)'!FS9:FS2000,"ข0.0")</f>
        <v>0</v>
      </c>
      <c r="P8" s="203">
        <f>COUNTIF('บัญชีหมายเลข2(ปี2558)'!GV9:GV2000,"ข1.5")</f>
        <v>0</v>
      </c>
      <c r="Q8" s="357">
        <f>SUMIF('บัญชีหมายเลข2(ปี2558)'!GV9:GV2000,"ข1.5",'บัญชีหมายเลข2(ปี2558)'!GW9:GW2000)+SUMIF('บัญชีหมายเลข2(ปี2558)'!GV9:GV2000,"ข1.5",'บัญชีหมายเลข2(ปี2558)'!GX9:GX2000)</f>
        <v>0</v>
      </c>
      <c r="R8" s="358"/>
      <c r="S8" s="203">
        <f>COUNTIF('บัญชีหมายเลข2(ปี2558)'!GV9:GV2000,"ข1")</f>
        <v>0</v>
      </c>
      <c r="T8" s="357">
        <f>SUMIF('บัญชีหมายเลข2(ปี2558)'!GV9:GV2000,"ข1",'บัญชีหมายเลข2(ปี2558)'!GW9:GW2000)+SUMIF('บัญชีหมายเลข2(ปี2558)'!GV9:GV2000,"ข1",'บัญชีหมายเลข2(ปี2558)'!GX9:GX2000)</f>
        <v>0</v>
      </c>
      <c r="U8" s="358"/>
      <c r="V8" s="203">
        <f>COUNTIF('บัญชีหมายเลข2(ปี2558)'!GV9:GV2000,"ข0.5")</f>
        <v>0</v>
      </c>
      <c r="W8" s="357">
        <f>SUMIF('บัญชีหมายเลข2(ปี2558)'!GV9:GV2000,"ข0.5",'บัญชีหมายเลข2(ปี2558)'!GW9:GW2000)+SUMIF('บัญชีหมายเลข2(ปี2558)'!GV9:GV2000,"ข0.5",'บัญชีหมายเลข2(ปี2558)'!GX9:GX2000)</f>
        <v>0</v>
      </c>
      <c r="X8" s="358"/>
      <c r="Y8" s="258">
        <f>COUNTIF('บัญชีหมายเลข2(ปี2558)'!GV9:GV2000,"ข0")</f>
        <v>0</v>
      </c>
      <c r="Z8" s="259">
        <f>SUMIF('บัญชีหมายเลข2(ปี2558)'!CT9:CT2000,"&lt;&gt;คศ.4",'บัญชีหมายเลข2(ปี2558)'!CG9:CG2000)</f>
        <v>0</v>
      </c>
      <c r="AA8" s="255"/>
      <c r="AB8" s="2"/>
    </row>
    <row r="9" spans="1:28" ht="21.75" x14ac:dyDescent="0.5">
      <c r="A9" s="9" t="s">
        <v>146</v>
      </c>
      <c r="B9" s="203">
        <f>COUNTIF('บัญชีหมายเลข2(ปี2558)'!BF9:BF1797,"คศ.4")</f>
        <v>0</v>
      </c>
      <c r="C9" s="313">
        <f>B9*0.15</f>
        <v>0</v>
      </c>
      <c r="D9" s="312">
        <f>ROUND(C9,0)</f>
        <v>0</v>
      </c>
      <c r="E9" s="357">
        <f>SUMIF('บัญชีหมายเลข2(ปี2558)'!GZ9:GZ2000,"ก",'บัญชีหมายเลข2(ปี2558)'!CU9:CU2000)</f>
        <v>0</v>
      </c>
      <c r="F9" s="358"/>
      <c r="G9" s="357">
        <f>E9*0.06</f>
        <v>0</v>
      </c>
      <c r="H9" s="358"/>
      <c r="I9" s="203">
        <f>COUNTIFS('บัญชีหมายเลข2(ปี2558)'!FS9:FS2000,"ก1")</f>
        <v>0</v>
      </c>
      <c r="J9" s="357">
        <f>SUMIF('บัญชีหมายเลข2(ปี2558)'!FS9:FS2000,"ก1",'บัญชีหมายเลข2(ปี2558)'!FT9:FT2000)</f>
        <v>0</v>
      </c>
      <c r="K9" s="358"/>
      <c r="L9" s="203">
        <f>COUNTIF('บัญชีหมายเลข2(ปี2558)'!FS9:FS2000,"ก0.5")-COUNTIFS('บัญชีหมายเลข2(ปี2558)'!FS9:FS2000,"ก0.5",'บัญชีหมายเลข2(ปี2558)'!BQ9:BQ2000,"&lt;4")-COUNTIFS('บัญชีหมายเลข2(ปี2558)'!FS9:FS2000,"ก0.5",'บัญชีหมายเลข2(ปี2558)'!BQ9:BQ2000,"คผช")</f>
        <v>0</v>
      </c>
      <c r="M9" s="357">
        <f>SUMIF('บัญชีหมายเลข2(ปี2558)'!FS9:FS2000,"ก0.5",'บัญชีหมายเลข2(ปี2558)'!FT9:FT2000)</f>
        <v>0</v>
      </c>
      <c r="N9" s="358"/>
      <c r="O9" s="258">
        <f>COUNTIF('บัญชีหมายเลข2(ปี2558)'!FS9:FS2000,"ก0.0")</f>
        <v>0</v>
      </c>
      <c r="P9" s="203">
        <f>COUNTIF('บัญชีหมายเลข2(ปี2558)'!GV9:GV2000,"ก1.5")</f>
        <v>0</v>
      </c>
      <c r="Q9" s="357">
        <f>SUMIF('บัญชีหมายเลข2(ปี2558)'!GV9:GV2000,"ก1.5",'บัญชีหมายเลข2(ปี2558)'!GW9:GW2000)+SUMIF('บัญชีหมายเลข2(ปี2558)'!GV9:GV2000,"ก1.5",'บัญชีหมายเลข2(ปี2558)'!GX9:GX2000)</f>
        <v>0</v>
      </c>
      <c r="R9" s="358"/>
      <c r="S9" s="203">
        <f>COUNTIF('บัญชีหมายเลข2(ปี2558)'!GV9:GV2000,"ก1")</f>
        <v>0</v>
      </c>
      <c r="T9" s="357">
        <f>SUMIF('บัญชีหมายเลข2(ปี2558)'!GV9:GV2000,"ก1",'บัญชีหมายเลข2(ปี2558)'!GW9:GW2000)+SUMIF('บัญชีหมายเลข2(ปี2558)'!GV9:GV2000,"ก1",'บัญชีหมายเลข2(ปี2558)'!GX9:GX2000)</f>
        <v>0</v>
      </c>
      <c r="U9" s="358"/>
      <c r="V9" s="203">
        <f>COUNTIF('บัญชีหมายเลข2(ปี2558)'!GV9:GV2000,"ก0.5")</f>
        <v>0</v>
      </c>
      <c r="W9" s="357">
        <f>SUMIF('บัญชีหมายเลข2(ปี2558)'!GV9:GV2000,"ก0.5",'บัญชีหมายเลข2(ปี2558)'!GW9:GW2000)+SUMIF('บัญชีหมายเลข2(ปี2558)'!GV9:GV2000,"ก0.5",'บัญชีหมายเลข2(ปี2558)'!GX9:GX2000)</f>
        <v>0</v>
      </c>
      <c r="X9" s="358"/>
      <c r="Y9" s="258">
        <f>COUNTIF('บัญชีหมายเลข2(ปี2558)'!GV9:GV2000,"ก0")</f>
        <v>0</v>
      </c>
      <c r="Z9" s="259">
        <f>SUMIF('บัญชีหมายเลข2(ปี2558)'!CT9:CT2000,"คศ.4",'บัญชีหมายเลข2(ปี2558)'!CG9:CG2000)</f>
        <v>0</v>
      </c>
      <c r="AA9" s="255"/>
      <c r="AB9" s="2"/>
    </row>
    <row r="10" spans="1:28" ht="21.75" x14ac:dyDescent="0.5">
      <c r="A10" s="9"/>
      <c r="B10" s="9"/>
      <c r="C10" s="9"/>
      <c r="D10" s="10"/>
      <c r="E10" s="351">
        <f>SUM(E8:E9)</f>
        <v>0</v>
      </c>
      <c r="F10" s="352"/>
      <c r="G10" s="351">
        <f>SUM(G8:G9)</f>
        <v>0</v>
      </c>
      <c r="H10" s="352"/>
      <c r="I10" s="40">
        <f>SUM(I8:I9)</f>
        <v>0</v>
      </c>
      <c r="J10" s="351">
        <f t="shared" ref="J10:Z10" si="0">SUM(J8:J9)</f>
        <v>0</v>
      </c>
      <c r="K10" s="352"/>
      <c r="L10" s="40">
        <f t="shared" si="0"/>
        <v>0</v>
      </c>
      <c r="M10" s="351">
        <f t="shared" si="0"/>
        <v>0</v>
      </c>
      <c r="N10" s="352"/>
      <c r="O10" s="40">
        <f>SUM(O8:O9)</f>
        <v>0</v>
      </c>
      <c r="P10" s="40">
        <f>SUM(P8:P9)</f>
        <v>0</v>
      </c>
      <c r="Q10" s="351">
        <f>SUM(Q8:Q9)</f>
        <v>0</v>
      </c>
      <c r="R10" s="352"/>
      <c r="S10" s="40">
        <f t="shared" si="0"/>
        <v>0</v>
      </c>
      <c r="T10" s="351">
        <f t="shared" si="0"/>
        <v>0</v>
      </c>
      <c r="U10" s="352"/>
      <c r="V10" s="40">
        <f t="shared" si="0"/>
        <v>0</v>
      </c>
      <c r="W10" s="351">
        <f t="shared" si="0"/>
        <v>0</v>
      </c>
      <c r="X10" s="352"/>
      <c r="Y10" s="40">
        <f t="shared" si="0"/>
        <v>0</v>
      </c>
      <c r="Z10" s="263">
        <f t="shared" si="0"/>
        <v>0</v>
      </c>
      <c r="AA10" s="255"/>
      <c r="AB10" s="2"/>
    </row>
    <row r="11" spans="1:28" ht="12.75" customHeight="1" x14ac:dyDescent="0.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255"/>
      <c r="AA11" s="2"/>
      <c r="AB11" s="2"/>
    </row>
    <row r="12" spans="1:28" ht="21.75" x14ac:dyDescent="0.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2"/>
      <c r="AA12" s="255"/>
      <c r="AB12" s="2"/>
    </row>
    <row r="13" spans="1:28" ht="21.75" x14ac:dyDescent="0.5">
      <c r="A13" s="340" t="s">
        <v>129</v>
      </c>
      <c r="B13" s="340"/>
      <c r="C13" s="340" t="s">
        <v>130</v>
      </c>
      <c r="D13" s="340"/>
      <c r="E13" s="340" t="s">
        <v>1</v>
      </c>
      <c r="F13" s="340"/>
      <c r="G13" s="340" t="s">
        <v>64</v>
      </c>
      <c r="H13" s="340"/>
      <c r="J13" s="336" t="s">
        <v>186</v>
      </c>
      <c r="K13" s="337"/>
      <c r="L13" s="250" t="s">
        <v>124</v>
      </c>
      <c r="M13" s="250" t="s">
        <v>125</v>
      </c>
      <c r="N13" s="250" t="s">
        <v>126</v>
      </c>
      <c r="O13" s="250" t="s">
        <v>127</v>
      </c>
      <c r="P13" s="250" t="s">
        <v>128</v>
      </c>
      <c r="Q13" s="340" t="s">
        <v>64</v>
      </c>
      <c r="R13" s="340"/>
      <c r="T13" s="42"/>
      <c r="U13" s="42"/>
      <c r="V13" s="42"/>
      <c r="W13" s="42"/>
      <c r="X13" s="42"/>
      <c r="Y13" s="42"/>
      <c r="Z13" s="2"/>
      <c r="AA13" s="2"/>
      <c r="AB13" s="2"/>
    </row>
    <row r="14" spans="1:28" ht="21.75" x14ac:dyDescent="0.5">
      <c r="A14" s="363" t="s">
        <v>147</v>
      </c>
      <c r="B14" s="363"/>
      <c r="C14" s="334">
        <f>G8</f>
        <v>0</v>
      </c>
      <c r="D14" s="335"/>
      <c r="E14" s="334">
        <f>SUMIF('บัญชีหมายเลข2(ปี2558)'!CO9:CO2000,"&lt;&gt;คศ.4",'บัญชีหมายเลข2(ปี2558)'!CZ9:CZ2000)</f>
        <v>0</v>
      </c>
      <c r="F14" s="335"/>
      <c r="G14" s="355">
        <f>IF(AND(C14=0,E14=0),0,IF(C14&lt;E14,"ใช้เกินวงเงิน","ไม่เกินวงเงิน"))</f>
        <v>0</v>
      </c>
      <c r="H14" s="355"/>
      <c r="J14" s="356">
        <f>D8</f>
        <v>0</v>
      </c>
      <c r="K14" s="356"/>
      <c r="L14" s="242">
        <f>COUNTIF('บัญชีหมายเลข2(ปี2558)'!HA9:HA2000,"ข2")</f>
        <v>0</v>
      </c>
      <c r="M14" s="277">
        <f>COUNTIF('บัญชีหมายเลข2(ปี2558)'!HA9:HA2000,"ข1.5")</f>
        <v>0</v>
      </c>
      <c r="N14" s="277">
        <f>COUNTIF('บัญชีหมายเลข2(ปี2558)'!HA9:HA2000,"ข1")</f>
        <v>0</v>
      </c>
      <c r="O14" s="277">
        <f>COUNTIF('บัญชีหมายเลข2(ปี2558)'!HA9:HA2000,"ข0.5")</f>
        <v>0</v>
      </c>
      <c r="P14" s="277">
        <f>COUNTIF('บัญชีหมายเลข2(ปี2558)'!HA9:HA2000,"ข0")</f>
        <v>0</v>
      </c>
      <c r="Q14" s="326">
        <f>IF(AND(J14=0,L14=0,M14=0,N14=0,O14=0,P14=0),0,IF(J14&lt;L14,"เกินโควต้า","ไม่เกินโควต้า"))</f>
        <v>0</v>
      </c>
      <c r="R14" s="327"/>
      <c r="T14" s="42"/>
      <c r="U14" s="42"/>
      <c r="V14" s="42"/>
      <c r="W14" s="42"/>
      <c r="X14" s="42"/>
      <c r="Y14" s="42"/>
      <c r="Z14" s="255"/>
      <c r="AA14" s="2"/>
      <c r="AB14" s="2"/>
    </row>
    <row r="15" spans="1:28" ht="21.75" x14ac:dyDescent="0.5">
      <c r="A15" s="350" t="s">
        <v>146</v>
      </c>
      <c r="B15" s="350"/>
      <c r="C15" s="334">
        <f>G9</f>
        <v>0</v>
      </c>
      <c r="D15" s="335"/>
      <c r="E15" s="334">
        <f>SUMIF('บัญชีหมายเลข2(ปี2558)'!CO9:CO2000,"คศ.4",'บัญชีหมายเลข2(ปี2558)'!CZ9:CZ2000)</f>
        <v>0</v>
      </c>
      <c r="F15" s="335"/>
      <c r="G15" s="355">
        <f>IF(AND(C15=0,E15=0),0,IF(C15&lt;E15,"ใช้เกินวงเงิน","ไม่เกินวงเงิน"))</f>
        <v>0</v>
      </c>
      <c r="H15" s="355"/>
      <c r="J15" s="356">
        <f>D9</f>
        <v>0</v>
      </c>
      <c r="K15" s="356"/>
      <c r="L15" s="277">
        <f>COUNTIF('บัญชีหมายเลข2(ปี2558)'!HA9:HA2000,"ก2")</f>
        <v>0</v>
      </c>
      <c r="M15" s="277">
        <f>COUNTIF('บัญชีหมายเลข2(ปี2558)'!HA9:HA2000,"ก1.5")</f>
        <v>0</v>
      </c>
      <c r="N15" s="277">
        <f>COUNTIF('บัญชีหมายเลข2(ปี2558)'!HA9:HA2000,"ก1")</f>
        <v>0</v>
      </c>
      <c r="O15" s="277">
        <f>COUNTIF('บัญชีหมายเลข2(ปี2558)'!HA9:HA2000,"ก0.5")</f>
        <v>0</v>
      </c>
      <c r="P15" s="277">
        <f>COUNTIF('บัญชีหมายเลข2(ปี2558)'!HA9:HA2000,"ก0")</f>
        <v>0</v>
      </c>
      <c r="Q15" s="326">
        <f>IF(AND(J15=0,L15=0,M15=0,N15=0,O15=0,P15=0),0,IF(J15&lt;L15,"เกินโควต้า","ไม่เกินโควต้า"))</f>
        <v>0</v>
      </c>
      <c r="R15" s="327"/>
      <c r="T15" s="42"/>
      <c r="U15" s="42"/>
      <c r="V15" s="42"/>
      <c r="W15" s="42"/>
      <c r="X15" s="42"/>
      <c r="Y15" s="42"/>
      <c r="Z15" s="255"/>
      <c r="AA15" s="2"/>
      <c r="AB15" s="2"/>
    </row>
    <row r="16" spans="1:28" ht="12.75" customHeight="1" x14ac:dyDescent="0.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"/>
      <c r="AA16" s="2"/>
      <c r="AB16" s="2"/>
    </row>
    <row r="17" spans="1:28" ht="21.75" x14ac:dyDescent="0.5">
      <c r="A17" s="46" t="s">
        <v>148</v>
      </c>
      <c r="B17" s="42"/>
      <c r="C17" s="42"/>
      <c r="D17" s="42"/>
      <c r="E17" s="42"/>
      <c r="F17" s="42"/>
      <c r="G17" s="42"/>
      <c r="H17" s="42"/>
      <c r="I17" s="42"/>
      <c r="K17" s="247"/>
      <c r="L17" s="45"/>
      <c r="M17" s="42"/>
      <c r="N17" s="42"/>
      <c r="O17" s="42"/>
      <c r="P17" s="46" t="s">
        <v>149</v>
      </c>
      <c r="Q17" s="42"/>
      <c r="R17" s="42"/>
      <c r="S17" s="42"/>
      <c r="T17" s="42"/>
      <c r="U17" s="42"/>
      <c r="V17" s="42"/>
      <c r="W17" s="42"/>
      <c r="X17" s="42"/>
      <c r="Y17" s="42"/>
      <c r="Z17" s="2"/>
      <c r="AA17" s="2"/>
      <c r="AB17" s="2"/>
    </row>
    <row r="18" spans="1:28" ht="21.75" x14ac:dyDescent="0.5">
      <c r="A18" s="347" t="s">
        <v>33</v>
      </c>
      <c r="B18" s="348"/>
      <c r="C18" s="343" t="s">
        <v>4</v>
      </c>
      <c r="D18" s="349"/>
      <c r="E18" s="343" t="s">
        <v>231</v>
      </c>
      <c r="F18" s="344"/>
      <c r="G18" s="328" t="s">
        <v>3</v>
      </c>
      <c r="H18" s="328"/>
      <c r="I18" s="328" t="s">
        <v>59</v>
      </c>
      <c r="J18" s="328"/>
      <c r="K18" s="331"/>
      <c r="L18" s="331"/>
      <c r="N18" s="43"/>
      <c r="O18" s="54"/>
      <c r="P18" s="328" t="s">
        <v>6</v>
      </c>
      <c r="Q18" s="328"/>
      <c r="R18" s="328"/>
      <c r="S18" s="328" t="s">
        <v>67</v>
      </c>
      <c r="T18" s="328"/>
      <c r="U18" s="328" t="s">
        <v>187</v>
      </c>
      <c r="V18" s="328"/>
      <c r="W18" s="328"/>
      <c r="X18" s="328"/>
      <c r="Y18" s="42"/>
      <c r="Z18" s="2"/>
      <c r="AA18" s="2"/>
      <c r="AB18" s="2"/>
    </row>
    <row r="19" spans="1:28" ht="21.75" x14ac:dyDescent="0.5">
      <c r="A19" s="345" t="s">
        <v>68</v>
      </c>
      <c r="B19" s="346"/>
      <c r="C19" s="343">
        <f>COUNTIF('บัญชีหมายเลข2(ปี2558)'!CT$9:CT$2000,"คศ.2")</f>
        <v>0</v>
      </c>
      <c r="D19" s="349"/>
      <c r="E19" s="343">
        <f>COUNTIF('บัญชีหมายเลข2(ปี2558)'!CT$9:CT$2000,"คศ.3")</f>
        <v>0</v>
      </c>
      <c r="F19" s="344"/>
      <c r="G19" s="328">
        <f>COUNTIF('บัญชีหมายเลข2(ปี2558)'!CT$9:CT$2000,"คศ.4")</f>
        <v>0</v>
      </c>
      <c r="H19" s="328"/>
      <c r="I19" s="328">
        <f>C19+E19+G19</f>
        <v>0</v>
      </c>
      <c r="J19" s="328"/>
      <c r="K19" s="331"/>
      <c r="L19" s="331"/>
      <c r="P19" s="363" t="s">
        <v>66</v>
      </c>
      <c r="Q19" s="363"/>
      <c r="R19" s="363"/>
      <c r="S19" s="365">
        <f>COUNTIF('บัญชีหมายเลข2(ปี2558)'!CU$9:CU$2000,"&gt;0")</f>
        <v>0</v>
      </c>
      <c r="T19" s="365"/>
      <c r="U19" s="364">
        <f>SUMIF('บัญชีหมายเลข2(ปี2558)'!CU$9:CU$2000,"&gt;0",'บัญชีหมายเลข2(ปี2558)'!CU$9:CU$2000)</f>
        <v>0</v>
      </c>
      <c r="V19" s="364"/>
      <c r="W19" s="364"/>
      <c r="X19" s="364"/>
      <c r="Y19" s="55"/>
      <c r="Z19" s="2"/>
      <c r="AA19" s="2"/>
      <c r="AB19" s="2"/>
    </row>
    <row r="20" spans="1:28" ht="21.75" x14ac:dyDescent="0.5">
      <c r="A20" s="248"/>
      <c r="B20" s="247"/>
      <c r="C20" s="45"/>
      <c r="D20" s="249"/>
      <c r="E20" s="45"/>
      <c r="F20" s="45"/>
      <c r="G20" s="45"/>
      <c r="H20" s="45"/>
      <c r="I20" s="45"/>
      <c r="J20" s="45"/>
      <c r="K20" s="45"/>
      <c r="L20" s="45"/>
      <c r="M20" s="42"/>
      <c r="N20" s="42"/>
      <c r="P20" s="363" t="s">
        <v>63</v>
      </c>
      <c r="Q20" s="363"/>
      <c r="R20" s="363"/>
      <c r="S20" s="365">
        <f>COUNTIF('บัญชีหมายเลข2(ปี2558)'!HB9:HB2000,"&gt;0")</f>
        <v>0</v>
      </c>
      <c r="T20" s="365"/>
      <c r="U20" s="364">
        <f>SUM('บัญชีหมายเลข2(ปี2558)'!HB9:HB2000)</f>
        <v>0</v>
      </c>
      <c r="V20" s="364"/>
      <c r="W20" s="364"/>
      <c r="X20" s="364"/>
      <c r="Y20" s="55"/>
      <c r="Z20" s="2"/>
      <c r="AA20" s="2"/>
      <c r="AB20" s="2"/>
    </row>
    <row r="21" spans="1:28" ht="21.75" x14ac:dyDescent="0.5">
      <c r="A21" s="67" t="s">
        <v>150</v>
      </c>
      <c r="B21" s="42"/>
      <c r="C21" s="42"/>
      <c r="D21" s="42"/>
      <c r="E21" s="42"/>
      <c r="F21" s="42"/>
      <c r="G21" s="42"/>
      <c r="H21" s="329">
        <f>SUM('บัญชีหมายเลข2(ปี2558)'!DI$9:DI$2000)</f>
        <v>98000</v>
      </c>
      <c r="I21" s="330"/>
      <c r="J21" s="330"/>
      <c r="K21" s="69" t="s">
        <v>23</v>
      </c>
      <c r="L21" s="45"/>
      <c r="M21" s="42"/>
      <c r="N21" s="42"/>
      <c r="O21" s="42"/>
      <c r="P21" s="367" t="s">
        <v>2</v>
      </c>
      <c r="Q21" s="368"/>
      <c r="R21" s="369"/>
      <c r="S21" s="365">
        <f>S19+S20</f>
        <v>0</v>
      </c>
      <c r="T21" s="365"/>
      <c r="U21" s="370">
        <f>U19+U20</f>
        <v>0</v>
      </c>
      <c r="V21" s="371"/>
      <c r="W21" s="371"/>
      <c r="X21" s="372"/>
      <c r="Y21" s="42"/>
      <c r="Z21" s="2"/>
      <c r="AA21" s="2"/>
      <c r="AB21" s="2"/>
    </row>
    <row r="22" spans="1:28" ht="21.75" x14ac:dyDescent="0.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M22" s="42"/>
      <c r="N22" s="42"/>
      <c r="O22" s="42"/>
      <c r="P22" s="42"/>
      <c r="Q22" s="42"/>
      <c r="R22" s="42"/>
      <c r="Y22" s="42"/>
      <c r="Z22" s="2"/>
      <c r="AA22" s="2"/>
      <c r="AB22" s="2"/>
    </row>
    <row r="23" spans="1:28" ht="21.75" x14ac:dyDescent="0.5">
      <c r="N23" s="45"/>
      <c r="O23" s="45"/>
      <c r="Q23" s="42"/>
      <c r="R23" s="42"/>
      <c r="Y23" s="42"/>
      <c r="Z23" s="2"/>
      <c r="AA23" s="2"/>
      <c r="AB23" s="2"/>
    </row>
    <row r="24" spans="1:28" ht="21.75" x14ac:dyDescent="0.5">
      <c r="N24" s="47"/>
      <c r="O24" s="330" t="s">
        <v>99</v>
      </c>
      <c r="P24" s="330"/>
      <c r="Q24" s="330"/>
      <c r="R24" s="330"/>
      <c r="S24" s="330"/>
      <c r="T24" s="330"/>
      <c r="U24" s="330"/>
      <c r="V24" s="330"/>
      <c r="W24" s="330"/>
      <c r="X24" s="330"/>
      <c r="Y24" s="42"/>
      <c r="Z24" s="2"/>
      <c r="AA24" s="2"/>
      <c r="AB24" s="2"/>
    </row>
    <row r="25" spans="1:28" ht="21.75" x14ac:dyDescent="0.5">
      <c r="N25" s="45"/>
      <c r="Q25" s="48"/>
      <c r="R25" s="45"/>
      <c r="S25" s="48"/>
      <c r="T25" s="48"/>
      <c r="V25" s="48"/>
      <c r="W25" s="48"/>
      <c r="X25" s="42"/>
      <c r="Y25" s="42"/>
      <c r="Z25" s="2"/>
      <c r="AA25" s="2"/>
      <c r="AB25" s="2"/>
    </row>
    <row r="26" spans="1:28" ht="21.75" x14ac:dyDescent="0.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8" t="s">
        <v>100</v>
      </c>
      <c r="R26" s="366" t="s">
        <v>101</v>
      </c>
      <c r="S26" s="366"/>
      <c r="T26" s="366"/>
      <c r="U26" s="366"/>
      <c r="V26" s="48"/>
      <c r="W26" s="48"/>
      <c r="X26" s="42"/>
      <c r="Y26" s="42"/>
      <c r="Z26" s="42"/>
      <c r="AA26" s="2"/>
      <c r="AB26" s="2"/>
    </row>
    <row r="27" spans="1:28" ht="21.75" x14ac:dyDescent="0.5">
      <c r="L27" s="42"/>
      <c r="M27" s="42"/>
      <c r="N27" s="42"/>
      <c r="O27" s="42"/>
      <c r="P27" s="42"/>
      <c r="Q27" s="330" t="s">
        <v>102</v>
      </c>
      <c r="R27" s="330"/>
      <c r="S27" s="330"/>
      <c r="T27" s="330"/>
      <c r="U27" s="330"/>
      <c r="V27" s="330"/>
      <c r="W27" s="42"/>
      <c r="X27" s="42"/>
      <c r="Y27" s="42"/>
      <c r="Z27" s="42"/>
      <c r="AA27" s="2"/>
      <c r="AB27" s="2"/>
    </row>
    <row r="28" spans="1:28" ht="21.75" x14ac:dyDescent="0.5">
      <c r="A28" s="67"/>
      <c r="B28" s="42"/>
      <c r="C28" s="42"/>
      <c r="D28" s="42"/>
      <c r="E28" s="42"/>
      <c r="F28" s="42"/>
      <c r="G28" s="42"/>
      <c r="H28" s="70"/>
      <c r="I28" s="70"/>
      <c r="J28" s="70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2"/>
      <c r="AB28" s="2"/>
    </row>
    <row r="29" spans="1:28" ht="21.75" x14ac:dyDescent="0.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2"/>
      <c r="AB29" s="2"/>
    </row>
    <row r="30" spans="1:28" ht="21.75" x14ac:dyDescent="0.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2"/>
      <c r="AB30" s="2"/>
    </row>
    <row r="31" spans="1:28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</sheetData>
  <mergeCells count="90">
    <mergeCell ref="Q27:V27"/>
    <mergeCell ref="U19:X19"/>
    <mergeCell ref="U20:X20"/>
    <mergeCell ref="P18:R18"/>
    <mergeCell ref="P19:R19"/>
    <mergeCell ref="S20:T20"/>
    <mergeCell ref="U18:X18"/>
    <mergeCell ref="P20:R20"/>
    <mergeCell ref="S19:T19"/>
    <mergeCell ref="R26:U26"/>
    <mergeCell ref="O24:X24"/>
    <mergeCell ref="P21:R21"/>
    <mergeCell ref="S21:T21"/>
    <mergeCell ref="U21:X21"/>
    <mergeCell ref="A14:B14"/>
    <mergeCell ref="A13:B13"/>
    <mergeCell ref="W8:X8"/>
    <mergeCell ref="W9:X9"/>
    <mergeCell ref="W10:X10"/>
    <mergeCell ref="E8:F8"/>
    <mergeCell ref="E9:F9"/>
    <mergeCell ref="E10:F10"/>
    <mergeCell ref="T8:U8"/>
    <mergeCell ref="T9:U9"/>
    <mergeCell ref="T10:U10"/>
    <mergeCell ref="Q8:R8"/>
    <mergeCell ref="Q9:R9"/>
    <mergeCell ref="Q10:R10"/>
    <mergeCell ref="G8:H8"/>
    <mergeCell ref="J8:K8"/>
    <mergeCell ref="A4:A7"/>
    <mergeCell ref="E4:H4"/>
    <mergeCell ref="E13:F13"/>
    <mergeCell ref="G9:H9"/>
    <mergeCell ref="G10:H10"/>
    <mergeCell ref="M10:N10"/>
    <mergeCell ref="E6:F6"/>
    <mergeCell ref="G6:H6"/>
    <mergeCell ref="E14:F14"/>
    <mergeCell ref="C15:D15"/>
    <mergeCell ref="G15:H15"/>
    <mergeCell ref="J15:K15"/>
    <mergeCell ref="J14:K14"/>
    <mergeCell ref="J9:K9"/>
    <mergeCell ref="J10:K10"/>
    <mergeCell ref="G14:H14"/>
    <mergeCell ref="M8:N8"/>
    <mergeCell ref="M9:N9"/>
    <mergeCell ref="E19:F19"/>
    <mergeCell ref="E15:F15"/>
    <mergeCell ref="A19:B19"/>
    <mergeCell ref="E18:F18"/>
    <mergeCell ref="A18:B18"/>
    <mergeCell ref="C18:D18"/>
    <mergeCell ref="C19:D19"/>
    <mergeCell ref="A15:B15"/>
    <mergeCell ref="A1:V1"/>
    <mergeCell ref="G2:K2"/>
    <mergeCell ref="C14:D14"/>
    <mergeCell ref="J13:K13"/>
    <mergeCell ref="B4:D4"/>
    <mergeCell ref="B5:D5"/>
    <mergeCell ref="G13:H13"/>
    <mergeCell ref="C13:D13"/>
    <mergeCell ref="N2:Q2"/>
    <mergeCell ref="P4:Y4"/>
    <mergeCell ref="Q6:R7"/>
    <mergeCell ref="W6:X7"/>
    <mergeCell ref="W1:Z1"/>
    <mergeCell ref="Q13:R13"/>
    <mergeCell ref="E5:H5"/>
    <mergeCell ref="I4:O4"/>
    <mergeCell ref="Q15:R15"/>
    <mergeCell ref="Q14:R14"/>
    <mergeCell ref="S18:T18"/>
    <mergeCell ref="H21:J21"/>
    <mergeCell ref="I19:J19"/>
    <mergeCell ref="K18:L19"/>
    <mergeCell ref="I18:J18"/>
    <mergeCell ref="G19:H19"/>
    <mergeCell ref="G18:H18"/>
    <mergeCell ref="V5:X5"/>
    <mergeCell ref="S5:U5"/>
    <mergeCell ref="T6:U7"/>
    <mergeCell ref="P5:R5"/>
    <mergeCell ref="J7:K7"/>
    <mergeCell ref="I5:K5"/>
    <mergeCell ref="J6:K6"/>
    <mergeCell ref="L5:N5"/>
    <mergeCell ref="M6:N7"/>
  </mergeCells>
  <printOptions horizontalCentered="1"/>
  <pageMargins left="0" right="0" top="0.47244094488188981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8"/>
  <sheetViews>
    <sheetView tabSelected="1"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9" sqref="H9:I9"/>
    </sheetView>
  </sheetViews>
  <sheetFormatPr defaultRowHeight="14.25" x14ac:dyDescent="0.2"/>
  <cols>
    <col min="1" max="1" width="4.875" customWidth="1"/>
    <col min="2" max="2" width="27.75" customWidth="1"/>
    <col min="3" max="3" width="21" customWidth="1"/>
    <col min="4" max="4" width="15.625" bestFit="1" customWidth="1"/>
    <col min="5" max="5" width="10.5" customWidth="1"/>
    <col min="6" max="6" width="9.375" customWidth="1"/>
    <col min="7" max="7" width="8.125" customWidth="1"/>
    <col min="8" max="8" width="7.125" bestFit="1" customWidth="1"/>
    <col min="9" max="9" width="8.25" customWidth="1"/>
    <col min="10" max="10" width="7.25" bestFit="1" customWidth="1"/>
    <col min="11" max="11" width="23.25" customWidth="1"/>
    <col min="12" max="12" width="10.125" bestFit="1" customWidth="1"/>
    <col min="13" max="13" width="7.125" bestFit="1" customWidth="1"/>
    <col min="14" max="15" width="8.875" customWidth="1"/>
    <col min="16" max="16" width="4.625" style="195" bestFit="1" customWidth="1"/>
    <col min="17" max="17" width="5.25" style="195" bestFit="1" customWidth="1"/>
    <col min="18" max="18" width="5.875" style="195" bestFit="1" customWidth="1"/>
    <col min="19" max="19" width="26.125" customWidth="1"/>
    <col min="20" max="20" width="10" customWidth="1"/>
    <col min="21" max="21" width="6.875" style="201" customWidth="1"/>
    <col min="22" max="22" width="8.375" customWidth="1"/>
    <col min="23" max="23" width="6.875" customWidth="1"/>
    <col min="24" max="24" width="5.25" style="195" bestFit="1" customWidth="1"/>
    <col min="25" max="25" width="5.625" style="195" bestFit="1" customWidth="1"/>
    <col min="26" max="26" width="7.875" style="196" bestFit="1" customWidth="1"/>
    <col min="27" max="27" width="7" customWidth="1"/>
    <col min="28" max="28" width="11" customWidth="1"/>
    <col min="29" max="29" width="7.375" customWidth="1"/>
    <col min="30" max="30" width="5.625" style="196" customWidth="1"/>
    <col min="31" max="31" width="6.25" style="195" customWidth="1"/>
    <col min="32" max="32" width="8" style="196" customWidth="1"/>
    <col min="33" max="33" width="6.875" style="195" customWidth="1"/>
    <col min="34" max="34" width="10.875" style="195" customWidth="1"/>
    <col min="35" max="35" width="8" style="195" customWidth="1"/>
    <col min="36" max="36" width="25.75" style="195" customWidth="1"/>
    <col min="37" max="37" width="9" style="195" customWidth="1"/>
    <col min="38" max="38" width="5.625" style="195" bestFit="1" customWidth="1"/>
    <col min="39" max="40" width="9" style="195" customWidth="1"/>
    <col min="41" max="41" width="4.375" style="195" bestFit="1" customWidth="1"/>
    <col min="42" max="42" width="5" style="195" customWidth="1"/>
    <col min="43" max="43" width="5.875" style="195" bestFit="1" customWidth="1"/>
    <col min="44" max="44" width="21.125" style="195" customWidth="1"/>
    <col min="45" max="45" width="9" style="195" customWidth="1"/>
    <col min="46" max="46" width="7.5" style="195" customWidth="1"/>
    <col min="47" max="47" width="7.375" style="195" customWidth="1"/>
    <col min="48" max="48" width="9" style="195" customWidth="1"/>
    <col min="49" max="49" width="6" style="195" customWidth="1"/>
    <col min="50" max="50" width="6.25" style="195" customWidth="1"/>
    <col min="51" max="51" width="7.375" style="195" customWidth="1"/>
    <col min="52" max="52" width="7.625" style="195" customWidth="1"/>
    <col min="53" max="53" width="10.375" style="195" customWidth="1"/>
    <col min="54" max="54" width="9" style="195" customWidth="1"/>
    <col min="55" max="55" width="5.375" style="195" customWidth="1"/>
    <col min="56" max="56" width="6.875" style="195" customWidth="1"/>
    <col min="57" max="57" width="8.125" style="195" customWidth="1"/>
    <col min="58" max="58" width="7.75" bestFit="1" customWidth="1"/>
    <col min="59" max="59" width="9.125" customWidth="1"/>
    <col min="60" max="60" width="8.375" customWidth="1"/>
    <col min="61" max="61" width="6.875" customWidth="1"/>
    <col min="62" max="62" width="6.75" customWidth="1"/>
    <col min="63" max="63" width="7.125" bestFit="1" customWidth="1"/>
    <col min="64" max="64" width="9.375" customWidth="1"/>
    <col min="65" max="65" width="8" customWidth="1"/>
    <col min="66" max="66" width="7.125" customWidth="1"/>
    <col min="67" max="67" width="21.25" customWidth="1"/>
    <col min="68" max="68" width="10.375" customWidth="1"/>
    <col min="69" max="69" width="6" customWidth="1"/>
    <col min="70" max="70" width="9.625" customWidth="1"/>
    <col min="71" max="71" width="8.125" customWidth="1"/>
    <col min="72" max="72" width="5.75" style="195" customWidth="1"/>
    <col min="73" max="73" width="6" style="195" customWidth="1"/>
    <col min="74" max="74" width="7.125" style="195" customWidth="1"/>
    <col min="75" max="75" width="19.375" customWidth="1"/>
    <col min="76" max="76" width="10.875" customWidth="1"/>
    <col min="77" max="77" width="7.125" style="1" bestFit="1" customWidth="1"/>
    <col min="78" max="78" width="8.125" customWidth="1"/>
    <col min="79" max="79" width="7.875" customWidth="1"/>
    <col min="80" max="80" width="6.375" style="195" customWidth="1"/>
    <col min="81" max="81" width="6" style="195" customWidth="1"/>
    <col min="82" max="82" width="6.75" style="195" customWidth="1"/>
    <col min="83" max="83" width="7" customWidth="1"/>
    <col min="84" max="84" width="7" hidden="1" customWidth="1"/>
    <col min="85" max="85" width="7" bestFit="1" customWidth="1"/>
    <col min="86" max="86" width="9.25" customWidth="1"/>
    <col min="87" max="87" width="7.5" customWidth="1"/>
    <col min="88" max="88" width="9.25" customWidth="1"/>
    <col min="89" max="89" width="8.125" customWidth="1"/>
    <col min="90" max="90" width="5.75" style="195" customWidth="1"/>
    <col min="91" max="91" width="7.25" style="195" customWidth="1"/>
    <col min="92" max="92" width="8.25" style="196" customWidth="1"/>
    <col min="93" max="93" width="7.75" bestFit="1" customWidth="1"/>
    <col min="94" max="94" width="8.625" customWidth="1"/>
    <col min="95" max="95" width="7.25" customWidth="1"/>
    <col min="96" max="96" width="6.75" customWidth="1"/>
    <col min="97" max="97" width="6.625" customWidth="1"/>
    <col min="98" max="98" width="7.125" bestFit="1" customWidth="1"/>
    <col min="99" max="99" width="8.25" customWidth="1"/>
    <col min="100" max="100" width="8" customWidth="1"/>
    <col min="101" max="101" width="8.25" customWidth="1"/>
    <col min="102" max="102" width="6.875" customWidth="1"/>
    <col min="103" max="103" width="6.125" customWidth="1"/>
    <col min="104" max="106" width="8.875" customWidth="1"/>
    <col min="107" max="107" width="9.375" customWidth="1"/>
    <col min="108" max="108" width="9" customWidth="1"/>
    <col min="109" max="113" width="9.125" customWidth="1"/>
    <col min="114" max="114" width="14.125" style="273" customWidth="1"/>
    <col min="115" max="117" width="9.125" customWidth="1"/>
    <col min="118" max="119" width="8.875" customWidth="1"/>
    <col min="120" max="120" width="9.125" customWidth="1"/>
    <col min="121" max="121" width="2.625" customWidth="1"/>
    <col min="122" max="122" width="5.75" customWidth="1"/>
    <col min="123" max="123" width="4" customWidth="1"/>
    <col min="124" max="124" width="9.25" customWidth="1"/>
    <col min="125" max="125" width="4.625" customWidth="1"/>
    <col min="126" max="126" width="5.75" customWidth="1"/>
    <col min="127" max="127" width="7" customWidth="1"/>
    <col min="128" max="131" width="8.625" customWidth="1"/>
    <col min="132" max="132" width="4.125" customWidth="1"/>
    <col min="133" max="133" width="5" customWidth="1"/>
    <col min="134" max="138" width="8.625" customWidth="1"/>
    <col min="139" max="139" width="4.125" customWidth="1"/>
    <col min="140" max="141" width="5" customWidth="1"/>
    <col min="142" max="142" width="6.375" customWidth="1"/>
    <col min="143" max="144" width="8.625" customWidth="1"/>
    <col min="145" max="145" width="5" customWidth="1"/>
    <col min="146" max="146" width="6.625" customWidth="1"/>
    <col min="147" max="148" width="8.625" customWidth="1"/>
    <col min="149" max="149" width="9.25" customWidth="1"/>
    <col min="150" max="150" width="5.625" customWidth="1"/>
    <col min="151" max="151" width="8.625" customWidth="1"/>
    <col min="152" max="152" width="5" customWidth="1"/>
    <col min="153" max="153" width="6.625" customWidth="1"/>
    <col min="154" max="156" width="9.125" customWidth="1"/>
    <col min="157" max="157" width="4.125" customWidth="1"/>
    <col min="158" max="158" width="6.875" customWidth="1"/>
    <col min="159" max="159" width="6.625" customWidth="1"/>
    <col min="160" max="160" width="7" customWidth="1"/>
    <col min="161" max="162" width="9.125" customWidth="1"/>
    <col min="163" max="163" width="8.125" customWidth="1"/>
    <col min="164" max="164" width="4.125" customWidth="1"/>
    <col min="165" max="165" width="6.375" customWidth="1"/>
    <col min="166" max="167" width="5" customWidth="1"/>
    <col min="168" max="168" width="7.375" customWidth="1"/>
    <col min="169" max="169" width="8.375" customWidth="1"/>
    <col min="170" max="170" width="5" customWidth="1"/>
    <col min="171" max="171" width="5.25" customWidth="1"/>
    <col min="172" max="172" width="7.375" customWidth="1"/>
    <col min="173" max="173" width="8.375" customWidth="1"/>
    <col min="174" max="174" width="4.75" customWidth="1"/>
    <col min="175" max="175" width="5.25" customWidth="1"/>
    <col min="176" max="178" width="9.125" customWidth="1"/>
    <col min="179" max="179" width="4.75" customWidth="1"/>
    <col min="180" max="180" width="6.125" customWidth="1"/>
    <col min="181" max="181" width="6.75" customWidth="1"/>
    <col min="182" max="182" width="6" customWidth="1"/>
    <col min="183" max="183" width="9.125" customWidth="1"/>
    <col min="184" max="184" width="7.625" customWidth="1"/>
    <col min="185" max="185" width="9.125" customWidth="1"/>
    <col min="186" max="186" width="5.125" customWidth="1"/>
    <col min="187" max="187" width="6.625" customWidth="1"/>
    <col min="188" max="188" width="5" customWidth="1"/>
    <col min="189" max="189" width="5.375" customWidth="1"/>
    <col min="190" max="190" width="7.75" customWidth="1"/>
    <col min="191" max="191" width="8.25" customWidth="1"/>
    <col min="192" max="192" width="9.125" customWidth="1"/>
    <col min="193" max="193" width="4.625" customWidth="1"/>
    <col min="194" max="194" width="6.125" customWidth="1"/>
    <col min="195" max="195" width="6.375" customWidth="1"/>
    <col min="196" max="196" width="5.625" customWidth="1"/>
    <col min="197" max="197" width="8.75" customWidth="1"/>
    <col min="198" max="198" width="8.125" customWidth="1"/>
    <col min="199" max="199" width="5" customWidth="1"/>
    <col min="200" max="200" width="5.375" customWidth="1"/>
    <col min="201" max="202" width="9.125" customWidth="1"/>
    <col min="203" max="203" width="5.25" customWidth="1"/>
    <col min="204" max="204" width="9.25" customWidth="1"/>
    <col min="205" max="205" width="9" customWidth="1"/>
    <col min="206" max="209" width="8.125" customWidth="1"/>
    <col min="210" max="210" width="9.125" customWidth="1"/>
  </cols>
  <sheetData>
    <row r="1" spans="1:210" ht="23.25" x14ac:dyDescent="0.5">
      <c r="A1" s="393" t="s">
        <v>151</v>
      </c>
      <c r="B1" s="393"/>
      <c r="C1" s="393"/>
      <c r="D1" s="393"/>
      <c r="E1" s="393"/>
      <c r="F1" s="393"/>
      <c r="G1" s="393"/>
      <c r="H1" s="393"/>
      <c r="I1" s="393"/>
      <c r="J1" s="393"/>
      <c r="P1"/>
      <c r="Q1"/>
      <c r="R1"/>
      <c r="X1"/>
      <c r="Y1"/>
      <c r="Z1" s="283"/>
      <c r="AD1" s="1"/>
      <c r="AE1"/>
      <c r="AF1" s="283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M1" s="256"/>
      <c r="BT1"/>
      <c r="BU1"/>
      <c r="BV1"/>
      <c r="CB1"/>
      <c r="CC1"/>
      <c r="CD1"/>
      <c r="CL1"/>
      <c r="CM1"/>
      <c r="CN1" s="283"/>
      <c r="CV1" s="256"/>
      <c r="CZ1" s="256"/>
      <c r="DT1" s="287"/>
      <c r="DU1" s="287"/>
      <c r="DV1" s="287"/>
      <c r="DW1" s="287"/>
      <c r="DX1" s="287"/>
    </row>
    <row r="2" spans="1:210" ht="24" x14ac:dyDescent="0.55000000000000004">
      <c r="A2" s="62"/>
      <c r="B2" s="65" t="s">
        <v>76</v>
      </c>
      <c r="C2" s="402"/>
      <c r="D2" s="402"/>
      <c r="E2" s="66" t="s">
        <v>77</v>
      </c>
      <c r="F2" s="402"/>
      <c r="G2" s="402"/>
      <c r="H2" s="402"/>
      <c r="I2" s="402"/>
      <c r="J2" s="192"/>
      <c r="P2"/>
      <c r="Q2"/>
      <c r="R2"/>
      <c r="X2"/>
      <c r="Y2"/>
      <c r="Z2" s="283"/>
      <c r="AD2" s="1"/>
      <c r="AE2"/>
      <c r="AF2" s="283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M2" s="256"/>
      <c r="BT2"/>
      <c r="BU2"/>
      <c r="BV2"/>
      <c r="CB2"/>
      <c r="CC2"/>
      <c r="CD2"/>
      <c r="CL2"/>
      <c r="CM2"/>
      <c r="CN2" s="283"/>
      <c r="CV2" s="256"/>
      <c r="CZ2" s="256"/>
    </row>
    <row r="3" spans="1:210" ht="23.25" x14ac:dyDescent="0.5">
      <c r="A3" s="75"/>
      <c r="B3" s="75"/>
      <c r="C3" s="75"/>
      <c r="D3" s="75"/>
      <c r="E3" s="75"/>
      <c r="F3" s="75"/>
      <c r="G3" s="75"/>
      <c r="H3" s="75"/>
      <c r="I3" s="75"/>
      <c r="J3" s="75"/>
      <c r="P3"/>
      <c r="Q3"/>
      <c r="R3"/>
      <c r="X3"/>
      <c r="Y3"/>
      <c r="Z3" s="283"/>
      <c r="AD3" s="1"/>
      <c r="AE3"/>
      <c r="AF3" s="28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 s="265"/>
      <c r="BG3" s="265"/>
      <c r="BH3" s="265"/>
      <c r="BT3"/>
      <c r="BU3"/>
      <c r="BV3"/>
      <c r="CB3"/>
      <c r="CC3"/>
      <c r="CD3"/>
      <c r="CL3"/>
      <c r="CM3"/>
      <c r="CN3" s="283"/>
      <c r="DV3" s="289"/>
    </row>
    <row r="4" spans="1:210" ht="24" customHeight="1" x14ac:dyDescent="0.55000000000000004">
      <c r="A4" s="394" t="s">
        <v>9</v>
      </c>
      <c r="B4" s="394" t="s">
        <v>27</v>
      </c>
      <c r="C4" s="190"/>
      <c r="D4" s="394" t="s">
        <v>6</v>
      </c>
      <c r="E4" s="397" t="s">
        <v>139</v>
      </c>
      <c r="F4" s="397" t="s">
        <v>94</v>
      </c>
      <c r="G4" s="56" t="s">
        <v>131</v>
      </c>
      <c r="H4" s="400" t="s">
        <v>95</v>
      </c>
      <c r="I4" s="401"/>
      <c r="J4" s="401"/>
      <c r="K4" s="454" t="s">
        <v>153</v>
      </c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6"/>
      <c r="BF4" s="436" t="s">
        <v>140</v>
      </c>
      <c r="BG4" s="437"/>
      <c r="BH4" s="437"/>
      <c r="BI4" s="408" t="s">
        <v>161</v>
      </c>
      <c r="BJ4" s="409"/>
      <c r="BK4" s="409"/>
      <c r="BL4" s="409"/>
      <c r="BM4" s="409"/>
      <c r="BN4" s="409"/>
      <c r="BO4" s="461" t="s">
        <v>163</v>
      </c>
      <c r="BP4" s="462"/>
      <c r="BQ4" s="462"/>
      <c r="BR4" s="462"/>
      <c r="BS4" s="462"/>
      <c r="BT4" s="462"/>
      <c r="BU4" s="462"/>
      <c r="BV4" s="462"/>
      <c r="BW4" s="462"/>
      <c r="BX4" s="462"/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62"/>
      <c r="CL4" s="462"/>
      <c r="CM4" s="462"/>
      <c r="CN4" s="462"/>
      <c r="CO4" s="436" t="s">
        <v>140</v>
      </c>
      <c r="CP4" s="437"/>
      <c r="CQ4" s="437"/>
      <c r="CR4" s="408" t="s">
        <v>166</v>
      </c>
      <c r="CS4" s="409"/>
      <c r="CT4" s="409"/>
      <c r="CU4" s="409"/>
      <c r="CV4" s="409"/>
      <c r="CW4" s="409"/>
      <c r="CX4" s="11"/>
      <c r="CY4" s="11"/>
      <c r="CZ4" s="12"/>
      <c r="DA4" s="415" t="s">
        <v>168</v>
      </c>
      <c r="DB4" s="416"/>
      <c r="DC4" s="416"/>
      <c r="DD4" s="416"/>
      <c r="DE4" s="416"/>
      <c r="DF4" s="416"/>
      <c r="DG4" s="416"/>
      <c r="DH4" s="416"/>
      <c r="DI4" s="417"/>
      <c r="DK4" s="430" t="s">
        <v>54</v>
      </c>
      <c r="DL4" s="431"/>
      <c r="DM4" s="431"/>
      <c r="DN4" s="431"/>
      <c r="DO4" s="431"/>
      <c r="DP4" s="431"/>
      <c r="DQ4" s="431"/>
      <c r="DR4" s="431"/>
      <c r="DS4" s="432"/>
      <c r="DT4" s="438" t="s">
        <v>176</v>
      </c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8"/>
      <c r="ER4" s="438"/>
      <c r="ES4" s="438"/>
      <c r="ET4" s="438"/>
      <c r="EU4" s="438"/>
      <c r="EV4" s="438"/>
      <c r="EW4" s="438"/>
      <c r="EX4" s="438"/>
      <c r="EY4" s="438"/>
      <c r="EZ4" s="438"/>
      <c r="FA4" s="438"/>
      <c r="FB4" s="438"/>
      <c r="FC4" s="438"/>
      <c r="FD4" s="438"/>
      <c r="FE4" s="438"/>
      <c r="FF4" s="438"/>
      <c r="FG4" s="438"/>
      <c r="FH4" s="438"/>
      <c r="FI4" s="438"/>
      <c r="FJ4" s="438"/>
      <c r="FK4" s="438"/>
      <c r="FL4" s="438"/>
      <c r="FM4" s="438"/>
      <c r="FN4" s="438"/>
      <c r="FO4" s="438"/>
      <c r="FP4" s="438"/>
      <c r="FQ4" s="438"/>
      <c r="FR4" s="438"/>
      <c r="FS4" s="438"/>
      <c r="FT4" s="438"/>
      <c r="FU4" s="438"/>
      <c r="FV4" s="459" t="s">
        <v>230</v>
      </c>
      <c r="FW4" s="460"/>
      <c r="FX4" s="460"/>
      <c r="FY4" s="460"/>
      <c r="FZ4" s="460"/>
      <c r="GA4" s="460"/>
      <c r="GB4" s="460"/>
      <c r="GC4" s="460"/>
      <c r="GD4" s="460"/>
      <c r="GE4" s="460"/>
      <c r="GF4" s="460"/>
      <c r="GG4" s="460"/>
      <c r="GH4" s="460"/>
      <c r="GI4" s="460"/>
      <c r="GJ4" s="460"/>
      <c r="GK4" s="460"/>
      <c r="GL4" s="460"/>
      <c r="GM4" s="460"/>
      <c r="GN4" s="460"/>
      <c r="GO4" s="460"/>
      <c r="GP4" s="460"/>
      <c r="GQ4" s="460"/>
      <c r="GR4" s="460"/>
      <c r="GS4" s="460"/>
      <c r="GT4" s="460"/>
      <c r="GU4" s="460"/>
      <c r="GV4" s="460"/>
      <c r="GW4" s="460"/>
      <c r="GX4" s="460"/>
      <c r="GY4" s="445"/>
      <c r="GZ4" s="446"/>
      <c r="HA4" s="447"/>
      <c r="HB4" s="434"/>
    </row>
    <row r="5" spans="1:210" ht="24" x14ac:dyDescent="0.55000000000000004">
      <c r="A5" s="395"/>
      <c r="B5" s="395"/>
      <c r="C5" s="189" t="s">
        <v>71</v>
      </c>
      <c r="D5" s="395"/>
      <c r="E5" s="398"/>
      <c r="F5" s="398"/>
      <c r="G5" s="57" t="s">
        <v>69</v>
      </c>
      <c r="H5" s="406">
        <v>240240</v>
      </c>
      <c r="I5" s="407"/>
      <c r="J5" s="407"/>
      <c r="K5" s="410" t="s">
        <v>152</v>
      </c>
      <c r="L5" s="411"/>
      <c r="M5" s="411"/>
      <c r="N5" s="411"/>
      <c r="O5" s="411"/>
      <c r="P5" s="411"/>
      <c r="Q5" s="411"/>
      <c r="R5" s="411"/>
      <c r="S5" s="410" t="s">
        <v>154</v>
      </c>
      <c r="T5" s="411"/>
      <c r="U5" s="411"/>
      <c r="V5" s="411"/>
      <c r="W5" s="411"/>
      <c r="X5" s="411"/>
      <c r="Y5" s="411"/>
      <c r="Z5" s="411"/>
      <c r="AA5" s="410" t="s">
        <v>155</v>
      </c>
      <c r="AB5" s="411"/>
      <c r="AC5" s="411"/>
      <c r="AD5" s="411"/>
      <c r="AE5" s="411"/>
      <c r="AF5" s="414"/>
      <c r="AG5" s="451" t="s">
        <v>157</v>
      </c>
      <c r="AH5" s="452"/>
      <c r="AI5" s="453"/>
      <c r="AJ5" s="410" t="s">
        <v>156</v>
      </c>
      <c r="AK5" s="411"/>
      <c r="AL5" s="411"/>
      <c r="AM5" s="411"/>
      <c r="AN5" s="411"/>
      <c r="AO5" s="411"/>
      <c r="AP5" s="411"/>
      <c r="AQ5" s="414"/>
      <c r="AR5" s="410" t="s">
        <v>158</v>
      </c>
      <c r="AS5" s="411"/>
      <c r="AT5" s="411"/>
      <c r="AU5" s="411"/>
      <c r="AV5" s="411"/>
      <c r="AW5" s="411"/>
      <c r="AX5" s="411"/>
      <c r="AY5" s="411"/>
      <c r="AZ5" s="410" t="s">
        <v>159</v>
      </c>
      <c r="BA5" s="411"/>
      <c r="BB5" s="411"/>
      <c r="BC5" s="411"/>
      <c r="BD5" s="411"/>
      <c r="BE5" s="414"/>
      <c r="BF5" s="420" t="s">
        <v>160</v>
      </c>
      <c r="BG5" s="421"/>
      <c r="BH5" s="421"/>
      <c r="BI5" s="425" t="s">
        <v>162</v>
      </c>
      <c r="BJ5" s="425"/>
      <c r="BK5" s="425"/>
      <c r="BL5" s="425"/>
      <c r="BM5" s="425"/>
      <c r="BN5" s="425"/>
      <c r="BO5" s="418" t="s">
        <v>96</v>
      </c>
      <c r="BP5" s="419"/>
      <c r="BQ5" s="419"/>
      <c r="BR5" s="419"/>
      <c r="BS5" s="419"/>
      <c r="BT5" s="419"/>
      <c r="BU5" s="419"/>
      <c r="BV5" s="419"/>
      <c r="BW5" s="418" t="s">
        <v>97</v>
      </c>
      <c r="BX5" s="419"/>
      <c r="BY5" s="419"/>
      <c r="BZ5" s="419"/>
      <c r="CA5" s="419"/>
      <c r="CB5" s="419"/>
      <c r="CC5" s="419"/>
      <c r="CD5" s="419"/>
      <c r="CE5" s="419"/>
      <c r="CF5" s="419"/>
      <c r="CG5" s="419"/>
      <c r="CH5" s="419"/>
      <c r="CI5" s="418" t="s">
        <v>164</v>
      </c>
      <c r="CJ5" s="419"/>
      <c r="CK5" s="419"/>
      <c r="CL5" s="419"/>
      <c r="CM5" s="419"/>
      <c r="CN5" s="419"/>
      <c r="CO5" s="463" t="s">
        <v>165</v>
      </c>
      <c r="CP5" s="464"/>
      <c r="CQ5" s="465"/>
      <c r="CR5" s="425" t="s">
        <v>167</v>
      </c>
      <c r="CS5" s="425"/>
      <c r="CT5" s="425"/>
      <c r="CU5" s="425"/>
      <c r="CV5" s="425"/>
      <c r="CW5" s="425"/>
      <c r="CX5" s="14" t="s">
        <v>2</v>
      </c>
      <c r="CY5" s="15" t="s">
        <v>13</v>
      </c>
      <c r="CZ5" s="16" t="s">
        <v>26</v>
      </c>
      <c r="DA5" s="415" t="s">
        <v>105</v>
      </c>
      <c r="DB5" s="416"/>
      <c r="DC5" s="416"/>
      <c r="DD5" s="417"/>
      <c r="DE5" s="439" t="s">
        <v>106</v>
      </c>
      <c r="DF5" s="439"/>
      <c r="DG5" s="440" t="s">
        <v>59</v>
      </c>
      <c r="DH5" s="439"/>
      <c r="DI5" s="441"/>
      <c r="DK5" s="375"/>
      <c r="DL5" s="433"/>
      <c r="DM5" s="433"/>
      <c r="DN5" s="433"/>
      <c r="DO5" s="433"/>
      <c r="DP5" s="433"/>
      <c r="DQ5" s="433"/>
      <c r="DR5" s="433"/>
      <c r="DS5" s="376"/>
      <c r="DT5" s="403" t="s">
        <v>190</v>
      </c>
      <c r="DU5" s="404"/>
      <c r="DV5" s="404"/>
      <c r="DW5" s="404"/>
      <c r="DX5" s="404"/>
      <c r="DY5" s="404"/>
      <c r="DZ5" s="404"/>
      <c r="EA5" s="404"/>
      <c r="EB5" s="404"/>
      <c r="EC5" s="404"/>
      <c r="ED5" s="404"/>
      <c r="EE5" s="404"/>
      <c r="EF5" s="404"/>
      <c r="EG5" s="404"/>
      <c r="EH5" s="404"/>
      <c r="EI5" s="404"/>
      <c r="EJ5" s="404"/>
      <c r="EK5" s="404"/>
      <c r="EL5" s="404"/>
      <c r="EM5" s="404"/>
      <c r="EN5" s="404"/>
      <c r="EO5" s="404"/>
      <c r="EP5" s="404"/>
      <c r="EQ5" s="404"/>
      <c r="ER5" s="405"/>
      <c r="ES5" s="274" t="s">
        <v>193</v>
      </c>
      <c r="ET5" s="275"/>
      <c r="EU5" s="275"/>
      <c r="EV5" s="275"/>
      <c r="EW5" s="275"/>
      <c r="EX5" s="275"/>
      <c r="EY5" s="275"/>
      <c r="EZ5" s="275"/>
      <c r="FA5" s="275"/>
      <c r="FB5" s="275"/>
      <c r="FC5" s="275"/>
      <c r="FD5" s="275"/>
      <c r="FE5" s="275"/>
      <c r="FF5" s="275"/>
      <c r="FG5" s="275"/>
      <c r="FH5" s="275"/>
      <c r="FI5" s="275"/>
      <c r="FJ5" s="275"/>
      <c r="FK5" s="275"/>
      <c r="FL5" s="275"/>
      <c r="FM5" s="275"/>
      <c r="FN5" s="275"/>
      <c r="FO5" s="275"/>
      <c r="FP5" s="275"/>
      <c r="FQ5" s="276"/>
      <c r="FR5" s="438" t="s">
        <v>177</v>
      </c>
      <c r="FS5" s="438"/>
      <c r="FT5" s="438"/>
      <c r="FU5" s="438"/>
      <c r="FV5" s="424" t="s">
        <v>122</v>
      </c>
      <c r="FW5" s="424"/>
      <c r="FX5" s="424"/>
      <c r="FY5" s="424"/>
      <c r="FZ5" s="424"/>
      <c r="GA5" s="424"/>
      <c r="GB5" s="424"/>
      <c r="GC5" s="424"/>
      <c r="GD5" s="424"/>
      <c r="GE5" s="424"/>
      <c r="GF5" s="424"/>
      <c r="GG5" s="424"/>
      <c r="GH5" s="424"/>
      <c r="GI5" s="424"/>
      <c r="GJ5" s="424" t="s">
        <v>123</v>
      </c>
      <c r="GK5" s="424"/>
      <c r="GL5" s="424"/>
      <c r="GM5" s="424"/>
      <c r="GN5" s="424"/>
      <c r="GO5" s="424"/>
      <c r="GP5" s="424"/>
      <c r="GQ5" s="424"/>
      <c r="GR5" s="424"/>
      <c r="GS5" s="424"/>
      <c r="GT5" s="424"/>
      <c r="GU5" s="457" t="s">
        <v>181</v>
      </c>
      <c r="GV5" s="458"/>
      <c r="GW5" s="458"/>
      <c r="GX5" s="458"/>
      <c r="GY5" s="448" t="s">
        <v>223</v>
      </c>
      <c r="GZ5" s="449"/>
      <c r="HA5" s="450"/>
      <c r="HB5" s="435"/>
    </row>
    <row r="6" spans="1:210" ht="24" x14ac:dyDescent="0.55000000000000004">
      <c r="A6" s="395"/>
      <c r="B6" s="395"/>
      <c r="C6" s="189" t="s">
        <v>93</v>
      </c>
      <c r="D6" s="395"/>
      <c r="E6" s="398"/>
      <c r="F6" s="398"/>
      <c r="G6" s="44" t="s">
        <v>70</v>
      </c>
      <c r="H6" s="37" t="s">
        <v>7</v>
      </c>
      <c r="I6" s="37" t="s">
        <v>8</v>
      </c>
      <c r="J6" s="76" t="s">
        <v>18</v>
      </c>
      <c r="K6" s="19"/>
      <c r="L6" s="19" t="s">
        <v>73</v>
      </c>
      <c r="M6" s="19" t="s">
        <v>7</v>
      </c>
      <c r="N6" s="19" t="s">
        <v>8</v>
      </c>
      <c r="O6" s="79" t="s">
        <v>18</v>
      </c>
      <c r="P6" s="384" t="s">
        <v>29</v>
      </c>
      <c r="Q6" s="385"/>
      <c r="R6" s="389"/>
      <c r="S6" s="19"/>
      <c r="T6" s="19" t="s">
        <v>73</v>
      </c>
      <c r="U6" s="19" t="s">
        <v>57</v>
      </c>
      <c r="V6" s="19" t="s">
        <v>8</v>
      </c>
      <c r="W6" s="79" t="s">
        <v>18</v>
      </c>
      <c r="X6" s="384" t="s">
        <v>29</v>
      </c>
      <c r="Y6" s="385"/>
      <c r="Z6" s="389"/>
      <c r="AA6" s="19" t="s">
        <v>7</v>
      </c>
      <c r="AB6" s="19" t="s">
        <v>8</v>
      </c>
      <c r="AC6" s="79" t="s">
        <v>18</v>
      </c>
      <c r="AD6" s="390" t="s">
        <v>29</v>
      </c>
      <c r="AE6" s="391"/>
      <c r="AF6" s="392"/>
      <c r="AG6" s="264" t="s">
        <v>7</v>
      </c>
      <c r="AH6" s="36" t="s">
        <v>8</v>
      </c>
      <c r="AI6" s="17" t="s">
        <v>18</v>
      </c>
      <c r="AJ6" s="19"/>
      <c r="AK6" s="19" t="s">
        <v>73</v>
      </c>
      <c r="AL6" s="19" t="s">
        <v>7</v>
      </c>
      <c r="AM6" s="19" t="s">
        <v>8</v>
      </c>
      <c r="AN6" s="79" t="s">
        <v>18</v>
      </c>
      <c r="AO6" s="384" t="s">
        <v>29</v>
      </c>
      <c r="AP6" s="385"/>
      <c r="AQ6" s="389"/>
      <c r="AR6" s="19"/>
      <c r="AS6" s="19" t="s">
        <v>73</v>
      </c>
      <c r="AT6" s="19" t="s">
        <v>57</v>
      </c>
      <c r="AU6" s="19" t="s">
        <v>8</v>
      </c>
      <c r="AV6" s="79" t="s">
        <v>18</v>
      </c>
      <c r="AW6" s="384" t="s">
        <v>29</v>
      </c>
      <c r="AX6" s="385"/>
      <c r="AY6" s="389"/>
      <c r="AZ6" s="19" t="s">
        <v>7</v>
      </c>
      <c r="BA6" s="19" t="s">
        <v>8</v>
      </c>
      <c r="BB6" s="79" t="s">
        <v>18</v>
      </c>
      <c r="BC6" s="390" t="s">
        <v>29</v>
      </c>
      <c r="BD6" s="391"/>
      <c r="BE6" s="392"/>
      <c r="BF6" s="238" t="s">
        <v>7</v>
      </c>
      <c r="BG6" s="238" t="s">
        <v>8</v>
      </c>
      <c r="BH6" s="239" t="s">
        <v>18</v>
      </c>
      <c r="BI6" s="36" t="s">
        <v>20</v>
      </c>
      <c r="BJ6" s="36" t="s">
        <v>34</v>
      </c>
      <c r="BK6" s="36" t="s">
        <v>7</v>
      </c>
      <c r="BL6" s="36" t="s">
        <v>22</v>
      </c>
      <c r="BM6" s="198" t="s">
        <v>18</v>
      </c>
      <c r="BN6" s="36" t="s">
        <v>18</v>
      </c>
      <c r="BO6" s="80"/>
      <c r="BP6" s="80" t="s">
        <v>73</v>
      </c>
      <c r="BQ6" s="80" t="s">
        <v>7</v>
      </c>
      <c r="BR6" s="80" t="s">
        <v>8</v>
      </c>
      <c r="BS6" s="81" t="s">
        <v>18</v>
      </c>
      <c r="BT6" s="379" t="s">
        <v>29</v>
      </c>
      <c r="BU6" s="383"/>
      <c r="BV6" s="380"/>
      <c r="BW6" s="80"/>
      <c r="BX6" s="80" t="s">
        <v>73</v>
      </c>
      <c r="BY6" s="80" t="s">
        <v>7</v>
      </c>
      <c r="BZ6" s="80" t="s">
        <v>8</v>
      </c>
      <c r="CA6" s="81" t="s">
        <v>18</v>
      </c>
      <c r="CB6" s="377" t="s">
        <v>29</v>
      </c>
      <c r="CC6" s="378"/>
      <c r="CD6" s="388"/>
      <c r="CE6" s="386" t="s">
        <v>98</v>
      </c>
      <c r="CF6" s="387"/>
      <c r="CG6" s="387"/>
      <c r="CH6" s="387"/>
      <c r="CI6" s="80" t="s">
        <v>7</v>
      </c>
      <c r="CJ6" s="80" t="s">
        <v>8</v>
      </c>
      <c r="CK6" s="81" t="s">
        <v>18</v>
      </c>
      <c r="CL6" s="377" t="s">
        <v>29</v>
      </c>
      <c r="CM6" s="378"/>
      <c r="CN6" s="388"/>
      <c r="CO6" s="238" t="s">
        <v>7</v>
      </c>
      <c r="CP6" s="238" t="s">
        <v>8</v>
      </c>
      <c r="CQ6" s="239" t="s">
        <v>18</v>
      </c>
      <c r="CR6" s="36" t="s">
        <v>20</v>
      </c>
      <c r="CS6" s="36" t="s">
        <v>34</v>
      </c>
      <c r="CT6" s="36" t="s">
        <v>7</v>
      </c>
      <c r="CU6" s="36" t="s">
        <v>22</v>
      </c>
      <c r="CV6" s="245" t="s">
        <v>18</v>
      </c>
      <c r="CW6" s="245" t="s">
        <v>18</v>
      </c>
      <c r="CX6" s="14" t="s">
        <v>8</v>
      </c>
      <c r="CY6" s="15" t="s">
        <v>16</v>
      </c>
      <c r="CZ6" s="16" t="s">
        <v>24</v>
      </c>
      <c r="DA6" s="426" t="s">
        <v>194</v>
      </c>
      <c r="DB6" s="427"/>
      <c r="DC6" s="422" t="s">
        <v>195</v>
      </c>
      <c r="DD6" s="423"/>
      <c r="DE6" s="426" t="s">
        <v>196</v>
      </c>
      <c r="DF6" s="427"/>
      <c r="DG6" s="442"/>
      <c r="DH6" s="443"/>
      <c r="DI6" s="444"/>
      <c r="DK6" s="17"/>
      <c r="DL6" s="17"/>
      <c r="DM6" s="17"/>
      <c r="DN6" s="17"/>
      <c r="DO6" s="232"/>
      <c r="DP6" s="18"/>
      <c r="DQ6" s="18"/>
      <c r="DR6" s="18"/>
      <c r="DS6" s="18"/>
      <c r="DT6" s="412" t="s">
        <v>188</v>
      </c>
      <c r="DU6" s="413"/>
      <c r="DV6" s="413"/>
      <c r="DW6" s="413"/>
      <c r="DX6" s="413"/>
      <c r="DY6" s="413"/>
      <c r="DZ6" s="413"/>
      <c r="EA6" s="381" t="s">
        <v>174</v>
      </c>
      <c r="EB6" s="382"/>
      <c r="EC6" s="382"/>
      <c r="ED6" s="382"/>
      <c r="EE6" s="382"/>
      <c r="EF6" s="382"/>
      <c r="EG6" s="382"/>
      <c r="EH6" s="384" t="s">
        <v>189</v>
      </c>
      <c r="EI6" s="385"/>
      <c r="EJ6" s="385"/>
      <c r="EK6" s="385"/>
      <c r="EL6" s="385"/>
      <c r="EM6" s="385"/>
      <c r="EN6" s="385"/>
      <c r="EO6" s="385"/>
      <c r="EP6" s="385"/>
      <c r="EQ6" s="385"/>
      <c r="ER6" s="385"/>
      <c r="ES6" s="412" t="s">
        <v>191</v>
      </c>
      <c r="ET6" s="413"/>
      <c r="EU6" s="413"/>
      <c r="EV6" s="413"/>
      <c r="EW6" s="413"/>
      <c r="EX6" s="413"/>
      <c r="EY6" s="413"/>
      <c r="EZ6" s="381" t="s">
        <v>175</v>
      </c>
      <c r="FA6" s="382"/>
      <c r="FB6" s="382"/>
      <c r="FC6" s="382"/>
      <c r="FD6" s="382"/>
      <c r="FE6" s="382"/>
      <c r="FF6" s="382"/>
      <c r="FG6" s="384" t="s">
        <v>192</v>
      </c>
      <c r="FH6" s="385"/>
      <c r="FI6" s="385"/>
      <c r="FJ6" s="385"/>
      <c r="FK6" s="385"/>
      <c r="FL6" s="385"/>
      <c r="FM6" s="385"/>
      <c r="FN6" s="385"/>
      <c r="FO6" s="385"/>
      <c r="FP6" s="385"/>
      <c r="FQ6" s="385"/>
      <c r="FR6" s="373" t="s">
        <v>36</v>
      </c>
      <c r="FS6" s="374"/>
      <c r="FT6" s="198" t="s">
        <v>36</v>
      </c>
      <c r="FU6" s="198" t="s">
        <v>36</v>
      </c>
      <c r="FV6" s="82" t="s">
        <v>51</v>
      </c>
      <c r="FW6" s="84" t="s">
        <v>51</v>
      </c>
      <c r="FX6" s="83"/>
      <c r="FY6" s="379" t="s">
        <v>20</v>
      </c>
      <c r="FZ6" s="380"/>
      <c r="GA6" s="379" t="s">
        <v>178</v>
      </c>
      <c r="GB6" s="383"/>
      <c r="GC6" s="204" t="s">
        <v>51</v>
      </c>
      <c r="GD6" s="295" t="s">
        <v>51</v>
      </c>
      <c r="GE6" s="205"/>
      <c r="GF6" s="379" t="s">
        <v>20</v>
      </c>
      <c r="GG6" s="380"/>
      <c r="GH6" s="379" t="s">
        <v>178</v>
      </c>
      <c r="GI6" s="383"/>
      <c r="GJ6" s="377" t="s">
        <v>36</v>
      </c>
      <c r="GK6" s="378"/>
      <c r="GL6" s="378"/>
      <c r="GM6" s="378"/>
      <c r="GN6" s="378"/>
      <c r="GO6" s="378"/>
      <c r="GP6" s="378"/>
      <c r="GQ6" s="378"/>
      <c r="GR6" s="378"/>
      <c r="GS6" s="378"/>
      <c r="GT6" s="378"/>
      <c r="GU6" s="373" t="s">
        <v>36</v>
      </c>
      <c r="GV6" s="374"/>
      <c r="GW6" s="198" t="s">
        <v>36</v>
      </c>
      <c r="GX6" s="206" t="s">
        <v>36</v>
      </c>
      <c r="GY6" s="297" t="s">
        <v>36</v>
      </c>
      <c r="GZ6" s="297" t="s">
        <v>226</v>
      </c>
      <c r="HA6" s="299" t="s">
        <v>224</v>
      </c>
      <c r="HB6" s="206" t="s">
        <v>36</v>
      </c>
    </row>
    <row r="7" spans="1:210" ht="24" x14ac:dyDescent="0.55000000000000004">
      <c r="A7" s="395"/>
      <c r="B7" s="395"/>
      <c r="C7" s="254" t="s">
        <v>216</v>
      </c>
      <c r="D7" s="395"/>
      <c r="E7" s="398"/>
      <c r="F7" s="398"/>
      <c r="G7" s="243"/>
      <c r="H7" s="37" t="s">
        <v>14</v>
      </c>
      <c r="I7" s="188" t="s">
        <v>18</v>
      </c>
      <c r="J7" s="76" t="s">
        <v>49</v>
      </c>
      <c r="K7" s="19" t="s">
        <v>71</v>
      </c>
      <c r="L7" s="19" t="s">
        <v>75</v>
      </c>
      <c r="M7" s="19" t="s">
        <v>14</v>
      </c>
      <c r="N7" s="19" t="s">
        <v>18</v>
      </c>
      <c r="O7" s="19" t="s">
        <v>49</v>
      </c>
      <c r="P7" s="19" t="s">
        <v>30</v>
      </c>
      <c r="Q7" s="19" t="s">
        <v>19</v>
      </c>
      <c r="R7" s="19" t="s">
        <v>31</v>
      </c>
      <c r="S7" s="19" t="s">
        <v>71</v>
      </c>
      <c r="T7" s="19" t="s">
        <v>74</v>
      </c>
      <c r="U7" s="19" t="s">
        <v>58</v>
      </c>
      <c r="V7" s="19" t="s">
        <v>18</v>
      </c>
      <c r="W7" s="19" t="s">
        <v>49</v>
      </c>
      <c r="X7" s="19" t="s">
        <v>30</v>
      </c>
      <c r="Y7" s="19" t="s">
        <v>19</v>
      </c>
      <c r="Z7" s="19" t="s">
        <v>31</v>
      </c>
      <c r="AA7" s="19" t="s">
        <v>32</v>
      </c>
      <c r="AB7" s="19" t="s">
        <v>18</v>
      </c>
      <c r="AC7" s="19" t="s">
        <v>49</v>
      </c>
      <c r="AD7" s="19" t="s">
        <v>30</v>
      </c>
      <c r="AE7" s="19" t="s">
        <v>19</v>
      </c>
      <c r="AF7" s="19" t="s">
        <v>31</v>
      </c>
      <c r="AG7" s="17" t="s">
        <v>14</v>
      </c>
      <c r="AH7" s="36" t="s">
        <v>18</v>
      </c>
      <c r="AI7" s="17" t="s">
        <v>49</v>
      </c>
      <c r="AJ7" s="19" t="s">
        <v>71</v>
      </c>
      <c r="AK7" s="19" t="s">
        <v>75</v>
      </c>
      <c r="AL7" s="19" t="s">
        <v>14</v>
      </c>
      <c r="AM7" s="19" t="s">
        <v>18</v>
      </c>
      <c r="AN7" s="19" t="s">
        <v>49</v>
      </c>
      <c r="AO7" s="19" t="s">
        <v>30</v>
      </c>
      <c r="AP7" s="19" t="s">
        <v>19</v>
      </c>
      <c r="AQ7" s="19" t="s">
        <v>31</v>
      </c>
      <c r="AR7" s="19" t="s">
        <v>71</v>
      </c>
      <c r="AS7" s="19" t="s">
        <v>74</v>
      </c>
      <c r="AT7" s="19" t="s">
        <v>58</v>
      </c>
      <c r="AU7" s="19" t="s">
        <v>18</v>
      </c>
      <c r="AV7" s="19" t="s">
        <v>49</v>
      </c>
      <c r="AW7" s="19" t="s">
        <v>30</v>
      </c>
      <c r="AX7" s="19" t="s">
        <v>19</v>
      </c>
      <c r="AY7" s="19" t="s">
        <v>31</v>
      </c>
      <c r="AZ7" s="19" t="s">
        <v>32</v>
      </c>
      <c r="BA7" s="19" t="s">
        <v>18</v>
      </c>
      <c r="BB7" s="19" t="s">
        <v>49</v>
      </c>
      <c r="BC7" s="19" t="s">
        <v>30</v>
      </c>
      <c r="BD7" s="19" t="s">
        <v>19</v>
      </c>
      <c r="BE7" s="19" t="s">
        <v>31</v>
      </c>
      <c r="BF7" s="238" t="s">
        <v>14</v>
      </c>
      <c r="BG7" s="238" t="s">
        <v>18</v>
      </c>
      <c r="BH7" s="239" t="s">
        <v>49</v>
      </c>
      <c r="BI7" s="36" t="s">
        <v>8</v>
      </c>
      <c r="BJ7" s="36" t="s">
        <v>35</v>
      </c>
      <c r="BK7" s="36" t="s">
        <v>14</v>
      </c>
      <c r="BL7" s="36" t="s">
        <v>107</v>
      </c>
      <c r="BM7" s="36" t="s">
        <v>24</v>
      </c>
      <c r="BN7" s="36" t="s">
        <v>34</v>
      </c>
      <c r="BO7" s="80" t="s">
        <v>71</v>
      </c>
      <c r="BP7" s="80" t="s">
        <v>74</v>
      </c>
      <c r="BQ7" s="80" t="s">
        <v>14</v>
      </c>
      <c r="BR7" s="80" t="s">
        <v>18</v>
      </c>
      <c r="BS7" s="80" t="s">
        <v>49</v>
      </c>
      <c r="BT7" s="80" t="s">
        <v>30</v>
      </c>
      <c r="BU7" s="80" t="s">
        <v>19</v>
      </c>
      <c r="BV7" s="80" t="s">
        <v>31</v>
      </c>
      <c r="BW7" s="80" t="s">
        <v>71</v>
      </c>
      <c r="BX7" s="80" t="s">
        <v>75</v>
      </c>
      <c r="BY7" s="80" t="s">
        <v>14</v>
      </c>
      <c r="BZ7" s="80" t="s">
        <v>18</v>
      </c>
      <c r="CA7" s="80" t="s">
        <v>49</v>
      </c>
      <c r="CB7" s="80" t="s">
        <v>30</v>
      </c>
      <c r="CC7" s="80" t="s">
        <v>19</v>
      </c>
      <c r="CD7" s="80" t="s">
        <v>31</v>
      </c>
      <c r="CE7" s="13" t="s">
        <v>8</v>
      </c>
      <c r="CF7" s="36"/>
      <c r="CG7" s="13" t="s">
        <v>12</v>
      </c>
      <c r="CH7" s="13" t="s">
        <v>34</v>
      </c>
      <c r="CI7" s="80" t="s">
        <v>32</v>
      </c>
      <c r="CJ7" s="80" t="s">
        <v>18</v>
      </c>
      <c r="CK7" s="80" t="s">
        <v>49</v>
      </c>
      <c r="CL7" s="80" t="s">
        <v>30</v>
      </c>
      <c r="CM7" s="80" t="s">
        <v>19</v>
      </c>
      <c r="CN7" s="80" t="s">
        <v>31</v>
      </c>
      <c r="CO7" s="238" t="s">
        <v>14</v>
      </c>
      <c r="CP7" s="238" t="s">
        <v>18</v>
      </c>
      <c r="CQ7" s="239" t="s">
        <v>49</v>
      </c>
      <c r="CR7" s="36" t="s">
        <v>8</v>
      </c>
      <c r="CS7" s="36" t="s">
        <v>35</v>
      </c>
      <c r="CT7" s="36" t="s">
        <v>14</v>
      </c>
      <c r="CU7" s="36" t="s">
        <v>107</v>
      </c>
      <c r="CV7" s="245" t="s">
        <v>24</v>
      </c>
      <c r="CW7" s="245" t="s">
        <v>34</v>
      </c>
      <c r="CX7" s="14" t="s">
        <v>9</v>
      </c>
      <c r="CY7" s="15" t="s">
        <v>8</v>
      </c>
      <c r="CZ7" s="16" t="s">
        <v>11</v>
      </c>
      <c r="DA7" s="16" t="s">
        <v>15</v>
      </c>
      <c r="DB7" s="16" t="s">
        <v>33</v>
      </c>
      <c r="DC7" s="16" t="s">
        <v>15</v>
      </c>
      <c r="DD7" s="16" t="s">
        <v>33</v>
      </c>
      <c r="DE7" s="16" t="s">
        <v>15</v>
      </c>
      <c r="DF7" s="16" t="s">
        <v>33</v>
      </c>
      <c r="DG7" s="16" t="s">
        <v>15</v>
      </c>
      <c r="DH7" s="16" t="s">
        <v>33</v>
      </c>
      <c r="DI7" s="14" t="s">
        <v>59</v>
      </c>
      <c r="DK7" s="17" t="s">
        <v>141</v>
      </c>
      <c r="DL7" s="269">
        <v>21155</v>
      </c>
      <c r="DM7" s="234" t="s">
        <v>169</v>
      </c>
      <c r="DN7" s="17" t="s">
        <v>170</v>
      </c>
      <c r="DO7" s="234" t="s">
        <v>171</v>
      </c>
      <c r="DP7" s="17" t="s">
        <v>172</v>
      </c>
      <c r="DQ7" s="17" t="s">
        <v>53</v>
      </c>
      <c r="DR7" s="17" t="s">
        <v>19</v>
      </c>
      <c r="DS7" s="17" t="s">
        <v>52</v>
      </c>
      <c r="DT7" s="208" t="s">
        <v>36</v>
      </c>
      <c r="DU7" s="281" t="s">
        <v>51</v>
      </c>
      <c r="DV7" s="227" t="s">
        <v>60</v>
      </c>
      <c r="DW7" s="428" t="s">
        <v>173</v>
      </c>
      <c r="DX7" s="429"/>
      <c r="DY7" s="227" t="s">
        <v>18</v>
      </c>
      <c r="DZ7" s="227" t="s">
        <v>49</v>
      </c>
      <c r="EA7" s="222" t="s">
        <v>36</v>
      </c>
      <c r="EB7" s="222" t="s">
        <v>51</v>
      </c>
      <c r="EC7" s="222" t="s">
        <v>60</v>
      </c>
      <c r="ED7" s="222" t="s">
        <v>19</v>
      </c>
      <c r="EE7" s="222" t="s">
        <v>52</v>
      </c>
      <c r="EF7" s="222" t="s">
        <v>18</v>
      </c>
      <c r="EG7" s="222" t="s">
        <v>49</v>
      </c>
      <c r="EH7" s="222" t="s">
        <v>36</v>
      </c>
      <c r="EI7" s="79" t="s">
        <v>51</v>
      </c>
      <c r="EJ7" s="79" t="s">
        <v>60</v>
      </c>
      <c r="EK7" s="384" t="s">
        <v>55</v>
      </c>
      <c r="EL7" s="385"/>
      <c r="EM7" s="385"/>
      <c r="EN7" s="385"/>
      <c r="EO7" s="384" t="s">
        <v>56</v>
      </c>
      <c r="EP7" s="385"/>
      <c r="EQ7" s="385"/>
      <c r="ER7" s="385"/>
      <c r="ES7" s="229" t="s">
        <v>36</v>
      </c>
      <c r="ET7" s="281" t="s">
        <v>51</v>
      </c>
      <c r="EU7" s="229" t="s">
        <v>60</v>
      </c>
      <c r="EV7" s="428" t="s">
        <v>197</v>
      </c>
      <c r="EW7" s="429"/>
      <c r="EX7" s="227" t="s">
        <v>18</v>
      </c>
      <c r="EY7" s="227" t="s">
        <v>49</v>
      </c>
      <c r="EZ7" s="222" t="s">
        <v>36</v>
      </c>
      <c r="FA7" s="222" t="s">
        <v>51</v>
      </c>
      <c r="FB7" s="222" t="s">
        <v>60</v>
      </c>
      <c r="FC7" s="222" t="s">
        <v>19</v>
      </c>
      <c r="FD7" s="222" t="s">
        <v>52</v>
      </c>
      <c r="FE7" s="223" t="s">
        <v>18</v>
      </c>
      <c r="FF7" s="223" t="s">
        <v>49</v>
      </c>
      <c r="FG7" s="19" t="s">
        <v>16</v>
      </c>
      <c r="FH7" s="79" t="s">
        <v>51</v>
      </c>
      <c r="FI7" s="79" t="s">
        <v>60</v>
      </c>
      <c r="FJ7" s="384" t="s">
        <v>55</v>
      </c>
      <c r="FK7" s="385"/>
      <c r="FL7" s="385"/>
      <c r="FM7" s="385"/>
      <c r="FN7" s="384" t="s">
        <v>56</v>
      </c>
      <c r="FO7" s="385"/>
      <c r="FP7" s="385"/>
      <c r="FQ7" s="385"/>
      <c r="FR7" s="373"/>
      <c r="FS7" s="374"/>
      <c r="FT7" s="198" t="s">
        <v>12</v>
      </c>
      <c r="FU7" s="198" t="s">
        <v>18</v>
      </c>
      <c r="FV7" s="80" t="s">
        <v>36</v>
      </c>
      <c r="FW7" s="80"/>
      <c r="FX7" s="82" t="s">
        <v>60</v>
      </c>
      <c r="FY7" s="80" t="s">
        <v>19</v>
      </c>
      <c r="FZ7" s="80" t="s">
        <v>52</v>
      </c>
      <c r="GA7" s="84" t="s">
        <v>18</v>
      </c>
      <c r="GB7" s="84" t="s">
        <v>49</v>
      </c>
      <c r="GC7" s="17" t="s">
        <v>36</v>
      </c>
      <c r="GD7" s="17"/>
      <c r="GE7" s="278" t="s">
        <v>60</v>
      </c>
      <c r="GF7" s="80" t="s">
        <v>19</v>
      </c>
      <c r="GG7" s="80" t="s">
        <v>52</v>
      </c>
      <c r="GH7" s="80" t="s">
        <v>18</v>
      </c>
      <c r="GI7" s="80" t="s">
        <v>49</v>
      </c>
      <c r="GJ7" s="17" t="s">
        <v>16</v>
      </c>
      <c r="GK7" s="17" t="s">
        <v>51</v>
      </c>
      <c r="GL7" s="17" t="s">
        <v>60</v>
      </c>
      <c r="GM7" s="377" t="s">
        <v>179</v>
      </c>
      <c r="GN7" s="378"/>
      <c r="GO7" s="378"/>
      <c r="GP7" s="378"/>
      <c r="GQ7" s="377" t="s">
        <v>180</v>
      </c>
      <c r="GR7" s="378"/>
      <c r="GS7" s="378"/>
      <c r="GT7" s="378"/>
      <c r="GU7" s="373"/>
      <c r="GV7" s="374"/>
      <c r="GW7" s="198" t="s">
        <v>12</v>
      </c>
      <c r="GX7" s="206" t="s">
        <v>18</v>
      </c>
      <c r="GY7" s="297"/>
      <c r="GZ7" s="297" t="s">
        <v>227</v>
      </c>
      <c r="HA7" s="299" t="s">
        <v>225</v>
      </c>
      <c r="HB7" s="206" t="s">
        <v>18</v>
      </c>
    </row>
    <row r="8" spans="1:210" ht="24" x14ac:dyDescent="0.55000000000000004">
      <c r="A8" s="396"/>
      <c r="B8" s="396"/>
      <c r="C8" s="191" t="s">
        <v>132</v>
      </c>
      <c r="D8" s="396"/>
      <c r="E8" s="399"/>
      <c r="F8" s="399"/>
      <c r="G8" s="244"/>
      <c r="H8" s="38"/>
      <c r="I8" s="38" t="s">
        <v>19</v>
      </c>
      <c r="J8" s="77" t="s">
        <v>50</v>
      </c>
      <c r="K8" s="21"/>
      <c r="L8" s="21" t="s">
        <v>6</v>
      </c>
      <c r="M8" s="21"/>
      <c r="N8" s="21" t="s">
        <v>19</v>
      </c>
      <c r="O8" s="21" t="s">
        <v>50</v>
      </c>
      <c r="P8" s="21"/>
      <c r="Q8" s="21"/>
      <c r="R8" s="21"/>
      <c r="S8" s="21"/>
      <c r="T8" s="21" t="s">
        <v>6</v>
      </c>
      <c r="U8" s="21" t="s">
        <v>14</v>
      </c>
      <c r="V8" s="21" t="s">
        <v>19</v>
      </c>
      <c r="W8" s="21" t="s">
        <v>50</v>
      </c>
      <c r="X8" s="21"/>
      <c r="Y8" s="21"/>
      <c r="Z8" s="21"/>
      <c r="AA8" s="21" t="s">
        <v>16</v>
      </c>
      <c r="AB8" s="21" t="s">
        <v>19</v>
      </c>
      <c r="AC8" s="21" t="s">
        <v>50</v>
      </c>
      <c r="AD8" s="21"/>
      <c r="AE8" s="21"/>
      <c r="AF8" s="21"/>
      <c r="AG8" s="20"/>
      <c r="AH8" s="39" t="s">
        <v>19</v>
      </c>
      <c r="AI8" s="20" t="s">
        <v>50</v>
      </c>
      <c r="AJ8" s="21"/>
      <c r="AK8" s="21" t="s">
        <v>6</v>
      </c>
      <c r="AL8" s="21"/>
      <c r="AM8" s="21" t="s">
        <v>19</v>
      </c>
      <c r="AN8" s="21" t="s">
        <v>50</v>
      </c>
      <c r="AO8" s="21"/>
      <c r="AP8" s="21"/>
      <c r="AQ8" s="21"/>
      <c r="AR8" s="21"/>
      <c r="AS8" s="21" t="s">
        <v>6</v>
      </c>
      <c r="AT8" s="21" t="s">
        <v>14</v>
      </c>
      <c r="AU8" s="21" t="s">
        <v>19</v>
      </c>
      <c r="AV8" s="21" t="s">
        <v>50</v>
      </c>
      <c r="AW8" s="21"/>
      <c r="AX8" s="21"/>
      <c r="AY8" s="21"/>
      <c r="AZ8" s="21" t="s">
        <v>16</v>
      </c>
      <c r="BA8" s="21" t="s">
        <v>19</v>
      </c>
      <c r="BB8" s="21" t="s">
        <v>50</v>
      </c>
      <c r="BC8" s="21"/>
      <c r="BD8" s="21"/>
      <c r="BE8" s="21"/>
      <c r="BF8" s="241"/>
      <c r="BG8" s="241" t="s">
        <v>19</v>
      </c>
      <c r="BH8" s="240" t="s">
        <v>50</v>
      </c>
      <c r="BI8" s="20" t="s">
        <v>21</v>
      </c>
      <c r="BJ8" s="20" t="s">
        <v>41</v>
      </c>
      <c r="BK8" s="20"/>
      <c r="BL8" s="39" t="s">
        <v>108</v>
      </c>
      <c r="BM8" s="39" t="s">
        <v>16</v>
      </c>
      <c r="BN8" s="39" t="s">
        <v>35</v>
      </c>
      <c r="BO8" s="85"/>
      <c r="BP8" s="85" t="s">
        <v>6</v>
      </c>
      <c r="BQ8" s="85"/>
      <c r="BR8" s="85" t="s">
        <v>19</v>
      </c>
      <c r="BS8" s="85" t="s">
        <v>50</v>
      </c>
      <c r="BT8" s="85"/>
      <c r="BU8" s="85"/>
      <c r="BV8" s="85"/>
      <c r="BW8" s="85"/>
      <c r="BX8" s="85" t="s">
        <v>6</v>
      </c>
      <c r="BY8" s="85"/>
      <c r="BZ8" s="85" t="s">
        <v>19</v>
      </c>
      <c r="CA8" s="85" t="s">
        <v>50</v>
      </c>
      <c r="CB8" s="85"/>
      <c r="CC8" s="85"/>
      <c r="CD8" s="85"/>
      <c r="CE8" s="78" t="s">
        <v>21</v>
      </c>
      <c r="CF8" s="20"/>
      <c r="CG8" s="22" t="s">
        <v>11</v>
      </c>
      <c r="CH8" s="22" t="s">
        <v>35</v>
      </c>
      <c r="CI8" s="85" t="s">
        <v>16</v>
      </c>
      <c r="CJ8" s="85" t="s">
        <v>19</v>
      </c>
      <c r="CK8" s="85" t="s">
        <v>50</v>
      </c>
      <c r="CL8" s="85"/>
      <c r="CM8" s="85"/>
      <c r="CN8" s="85"/>
      <c r="CO8" s="240"/>
      <c r="CP8" s="240" t="s">
        <v>19</v>
      </c>
      <c r="CQ8" s="240" t="s">
        <v>50</v>
      </c>
      <c r="CR8" s="20" t="s">
        <v>21</v>
      </c>
      <c r="CS8" s="20" t="s">
        <v>41</v>
      </c>
      <c r="CT8" s="257"/>
      <c r="CU8" s="39" t="s">
        <v>109</v>
      </c>
      <c r="CV8" s="246" t="s">
        <v>16</v>
      </c>
      <c r="CW8" s="246" t="s">
        <v>35</v>
      </c>
      <c r="CX8" s="23" t="s">
        <v>17</v>
      </c>
      <c r="CY8" s="24">
        <v>0.06</v>
      </c>
      <c r="CZ8" s="25"/>
      <c r="DA8" s="233"/>
      <c r="DB8" s="233"/>
      <c r="DC8" s="25"/>
      <c r="DD8" s="25"/>
      <c r="DE8" s="25"/>
      <c r="DF8" s="25"/>
      <c r="DG8" s="25"/>
      <c r="DH8" s="25"/>
      <c r="DI8" s="23"/>
      <c r="DK8" s="20"/>
      <c r="DL8" s="20"/>
      <c r="DM8" s="20"/>
      <c r="DN8" s="20"/>
      <c r="DO8" s="20"/>
      <c r="DP8" s="20"/>
      <c r="DQ8" s="20"/>
      <c r="DR8" s="20"/>
      <c r="DS8" s="20"/>
      <c r="DT8" s="209" t="s">
        <v>10</v>
      </c>
      <c r="DU8" s="282"/>
      <c r="DV8" s="228" t="s">
        <v>19</v>
      </c>
      <c r="DW8" s="221" t="s">
        <v>19</v>
      </c>
      <c r="DX8" s="221" t="s">
        <v>52</v>
      </c>
      <c r="DY8" s="225" t="s">
        <v>19</v>
      </c>
      <c r="DZ8" s="225" t="s">
        <v>50</v>
      </c>
      <c r="EA8" s="224" t="s">
        <v>10</v>
      </c>
      <c r="EB8" s="224"/>
      <c r="EC8" s="224" t="s">
        <v>19</v>
      </c>
      <c r="ED8" s="224"/>
      <c r="EE8" s="224"/>
      <c r="EF8" s="224" t="s">
        <v>19</v>
      </c>
      <c r="EG8" s="224" t="s">
        <v>50</v>
      </c>
      <c r="EH8" s="224" t="s">
        <v>10</v>
      </c>
      <c r="EI8" s="21"/>
      <c r="EJ8" s="21" t="s">
        <v>19</v>
      </c>
      <c r="EK8" s="21" t="s">
        <v>19</v>
      </c>
      <c r="EL8" s="21" t="s">
        <v>52</v>
      </c>
      <c r="EM8" s="21" t="s">
        <v>15</v>
      </c>
      <c r="EN8" s="21" t="s">
        <v>33</v>
      </c>
      <c r="EO8" s="21" t="s">
        <v>19</v>
      </c>
      <c r="EP8" s="21" t="s">
        <v>52</v>
      </c>
      <c r="EQ8" s="21" t="s">
        <v>15</v>
      </c>
      <c r="ER8" s="21" t="s">
        <v>33</v>
      </c>
      <c r="ES8" s="230" t="s">
        <v>10</v>
      </c>
      <c r="ET8" s="282"/>
      <c r="EU8" s="230" t="s">
        <v>19</v>
      </c>
      <c r="EV8" s="208" t="s">
        <v>19</v>
      </c>
      <c r="EW8" s="208" t="s">
        <v>52</v>
      </c>
      <c r="EX8" s="209" t="s">
        <v>19</v>
      </c>
      <c r="EY8" s="209" t="s">
        <v>50</v>
      </c>
      <c r="EZ8" s="224" t="s">
        <v>10</v>
      </c>
      <c r="FA8" s="224"/>
      <c r="FB8" s="224" t="s">
        <v>19</v>
      </c>
      <c r="FC8" s="224"/>
      <c r="FD8" s="224"/>
      <c r="FE8" s="224" t="s">
        <v>19</v>
      </c>
      <c r="FF8" s="224" t="s">
        <v>50</v>
      </c>
      <c r="FG8" s="21" t="s">
        <v>29</v>
      </c>
      <c r="FH8" s="21"/>
      <c r="FI8" s="21" t="s">
        <v>19</v>
      </c>
      <c r="FJ8" s="21" t="s">
        <v>19</v>
      </c>
      <c r="FK8" s="21" t="s">
        <v>52</v>
      </c>
      <c r="FL8" s="21" t="s">
        <v>15</v>
      </c>
      <c r="FM8" s="21" t="s">
        <v>33</v>
      </c>
      <c r="FN8" s="21" t="s">
        <v>19</v>
      </c>
      <c r="FO8" s="21" t="s">
        <v>52</v>
      </c>
      <c r="FP8" s="21" t="s">
        <v>15</v>
      </c>
      <c r="FQ8" s="21" t="s">
        <v>33</v>
      </c>
      <c r="FR8" s="375"/>
      <c r="FS8" s="376"/>
      <c r="FT8" s="199" t="s">
        <v>11</v>
      </c>
      <c r="FU8" s="199" t="s">
        <v>35</v>
      </c>
      <c r="FV8" s="85" t="s">
        <v>10</v>
      </c>
      <c r="FW8" s="85"/>
      <c r="FX8" s="280" t="s">
        <v>19</v>
      </c>
      <c r="FY8" s="85"/>
      <c r="FZ8" s="85"/>
      <c r="GA8" s="85" t="s">
        <v>19</v>
      </c>
      <c r="GB8" s="85" t="s">
        <v>50</v>
      </c>
      <c r="GC8" s="20" t="s">
        <v>10</v>
      </c>
      <c r="GD8" s="20"/>
      <c r="GE8" s="279" t="s">
        <v>19</v>
      </c>
      <c r="GF8" s="85"/>
      <c r="GG8" s="85"/>
      <c r="GH8" s="85" t="s">
        <v>19</v>
      </c>
      <c r="GI8" s="85" t="s">
        <v>50</v>
      </c>
      <c r="GJ8" s="20" t="s">
        <v>29</v>
      </c>
      <c r="GK8" s="20"/>
      <c r="GL8" s="20" t="s">
        <v>19</v>
      </c>
      <c r="GM8" s="85" t="s">
        <v>19</v>
      </c>
      <c r="GN8" s="85" t="s">
        <v>52</v>
      </c>
      <c r="GO8" s="85" t="s">
        <v>15</v>
      </c>
      <c r="GP8" s="85" t="s">
        <v>33</v>
      </c>
      <c r="GQ8" s="85" t="s">
        <v>19</v>
      </c>
      <c r="GR8" s="85" t="s">
        <v>52</v>
      </c>
      <c r="GS8" s="85" t="s">
        <v>15</v>
      </c>
      <c r="GT8" s="85" t="s">
        <v>33</v>
      </c>
      <c r="GU8" s="375"/>
      <c r="GV8" s="376"/>
      <c r="GW8" s="199" t="s">
        <v>11</v>
      </c>
      <c r="GX8" s="207" t="s">
        <v>35</v>
      </c>
      <c r="GY8" s="298"/>
      <c r="GZ8" s="298"/>
      <c r="HA8" s="300"/>
      <c r="HB8" s="207" t="s">
        <v>65</v>
      </c>
    </row>
    <row r="9" spans="1:210" ht="24" x14ac:dyDescent="0.55000000000000004">
      <c r="A9" s="4">
        <v>1</v>
      </c>
      <c r="B9" s="26"/>
      <c r="C9" s="26"/>
      <c r="D9" s="26"/>
      <c r="E9" s="26"/>
      <c r="F9" s="26"/>
      <c r="G9" s="26"/>
      <c r="H9" s="4"/>
      <c r="I9" s="5"/>
      <c r="J9" s="7"/>
      <c r="K9" s="28"/>
      <c r="L9" s="28"/>
      <c r="M9" s="4"/>
      <c r="N9" s="5"/>
      <c r="O9" s="7"/>
      <c r="P9" s="193"/>
      <c r="Q9" s="193"/>
      <c r="R9" s="194"/>
      <c r="S9" s="31"/>
      <c r="T9" s="31"/>
      <c r="U9" s="4"/>
      <c r="V9" s="5"/>
      <c r="W9" s="7"/>
      <c r="X9" s="193"/>
      <c r="Y9" s="193"/>
      <c r="Z9" s="193"/>
      <c r="AA9" s="30"/>
      <c r="AB9" s="5"/>
      <c r="AC9" s="7"/>
      <c r="AD9" s="193"/>
      <c r="AE9" s="193"/>
      <c r="AF9" s="193"/>
      <c r="AG9" s="4" t="s">
        <v>87</v>
      </c>
      <c r="AH9" s="5">
        <v>21000</v>
      </c>
      <c r="AI9" s="7">
        <v>3500</v>
      </c>
      <c r="AJ9" s="31"/>
      <c r="AK9" s="28"/>
      <c r="AL9" s="4"/>
      <c r="AM9" s="31"/>
      <c r="AN9" s="7"/>
      <c r="AO9" s="231"/>
      <c r="AP9" s="231"/>
      <c r="AQ9" s="231"/>
      <c r="AR9" s="31"/>
      <c r="AS9" s="31"/>
      <c r="AT9" s="4"/>
      <c r="AU9" s="31"/>
      <c r="AV9" s="7"/>
      <c r="AW9" s="231"/>
      <c r="AX9" s="231"/>
      <c r="AY9" s="231"/>
      <c r="AZ9" s="30"/>
      <c r="BA9" s="31"/>
      <c r="BB9" s="7"/>
      <c r="BC9" s="231"/>
      <c r="BD9" s="231"/>
      <c r="BE9" s="231"/>
      <c r="BF9" s="310" t="str">
        <f t="shared" ref="BF9:BF13" si="0">IF(AND(AH9&gt;0,ES9=0,EZ9=0,FG9=0),AG9,IF(AND(AH9&gt;0,FG9&gt;0,FG9&lt;=DM9),AZ9,IF(AND(AH9&gt;0,FG9&gt;0,FG9&gt;DM9),AG9,IF(AND(AH9=0,ES9&gt;0,FG9=0),AL9,IF(AND(AH9=0,ES9&gt;0,FG9&gt;0),AZ9,0)))))</f>
        <v>คศ.2</v>
      </c>
      <c r="BG9" s="310">
        <f t="shared" ref="BG9:BG18" si="1">IF(AND(AH9&gt;0,AM9=0,AU9=0,BA9=0),AH9,IF(AND(AH9&gt;0,AM9=0,AU9=0,FG9&gt;DM9),AH9,IF(AND(ES9&gt;0,ES9&gt;EZ9,ES9&gt;FG9,ES9&lt;=DM9),AM9,IF(AND(ES9&gt;DM9,ES9&gt;EZ9,ES9&gt;FG9),0,IF(AND(EZ9&gt;0,EZ9&gt;ES9,EZ9&gt;FG9),0,IF(AND(FG9&gt;0,FG9&gt;ES9,FG9&gt;EZ9,FG9&lt;=DM9),BA9,0))))))</f>
        <v>21000</v>
      </c>
      <c r="BH9" s="311">
        <f>IF(BF9="คศ.2",3500,IF(BF9="คศ.3",5600,IF(BF9="คศ.4",9900,0)))</f>
        <v>3500</v>
      </c>
      <c r="BI9" s="29"/>
      <c r="BJ9" s="29"/>
      <c r="BK9" s="4"/>
      <c r="BL9" s="5"/>
      <c r="BM9" s="7">
        <f t="shared" ref="BM9:BM11" si="2">IF(OR(BI9=0,BL9=0),0,BL9-BG9)</f>
        <v>0</v>
      </c>
      <c r="BN9" s="197">
        <f t="shared" ref="BN9:BN18" si="3">TRUNC(FU9,0)</f>
        <v>0</v>
      </c>
      <c r="BO9" s="31"/>
      <c r="BP9" s="31"/>
      <c r="BQ9" s="4"/>
      <c r="BR9" s="31"/>
      <c r="BS9" s="7"/>
      <c r="BT9" s="32"/>
      <c r="BU9" s="32"/>
      <c r="BV9" s="32"/>
      <c r="BW9" s="31"/>
      <c r="BX9" s="28"/>
      <c r="BY9" s="4"/>
      <c r="BZ9" s="31"/>
      <c r="CA9" s="7"/>
      <c r="CB9" s="32"/>
      <c r="CC9" s="32"/>
      <c r="CD9" s="32"/>
      <c r="CE9" s="29"/>
      <c r="CF9" s="61" t="str">
        <f t="shared" ref="CF9:CF18" si="4">IF(OR(BY9="คผช",BY9=1,BY9=2,BY9=3),"ข",IF(BY9=4,"ก",0))&amp;CE9</f>
        <v>0</v>
      </c>
      <c r="CG9" s="28"/>
      <c r="CH9" s="28"/>
      <c r="CI9" s="30"/>
      <c r="CJ9" s="31"/>
      <c r="CK9" s="7"/>
      <c r="CL9" s="32"/>
      <c r="CM9" s="32"/>
      <c r="CN9" s="32"/>
      <c r="CO9" s="266">
        <f t="shared" ref="CO9:CO13" si="5">IF(AND(BL9&gt;0,FV9=0,GJ9=0),BK9,IF(AND(BL9&gt;0,FV9=0,GJ9&gt;DO9),BK9,IF(AND(BL9&gt;0,FV9=0,FG9&gt;0,FG9&lt;=DO9),CI9,IF(AND(BL9=0,GE9&gt;0,GE9&lt;=DO9),BY9,IF(AND(BL9=0,GE9&gt;0,GE9&gt;DO9),0,0)))))</f>
        <v>0</v>
      </c>
      <c r="CP9" s="308">
        <f t="shared" ref="CP9:CP13" si="6">IF(AND(BL9&gt;0,FV9=0,GJ9=0),BL9,IF(AND(BL9&gt;0,FV9=0,GJ9&gt;DO9),BL9,IF(AND(BL9&gt;0,FV9=0,FG9&gt;0,FG9&lt;=DO9),CJ9,IF(AND(BL9=0,GE9&gt;0,GE9&lt;=DO9),BZ9,IF(AND(BL9=0,GE9&gt;0,GE9&gt;DO9),0,0)))))</f>
        <v>0</v>
      </c>
      <c r="CQ9" s="7"/>
      <c r="CR9" s="202"/>
      <c r="CS9" s="4"/>
      <c r="CT9" s="4"/>
      <c r="CU9" s="5"/>
      <c r="CV9" s="7">
        <f>IF(CU9=0,0,IF(CR9=0,0,IF(GJ9&gt;DO9,(CU9-CJ9),IF(GC9&gt;DO9,0,IF(AND(CO9=2,CP9=37830),CU9-37900,IF(AND(CO9=3,CP9=53080),CU9-53820,IF(AND(CO9=4,CP9=62760),CU9-62820,CU9-CP9)))))))</f>
        <v>0</v>
      </c>
      <c r="CW9" s="7">
        <f t="shared" ref="CW9:CW18" si="7">TRUNC(GX9,0)</f>
        <v>0</v>
      </c>
      <c r="CX9" s="33">
        <f>GY9</f>
        <v>0</v>
      </c>
      <c r="CY9" s="34">
        <f t="shared" ref="CY9:CY18" si="8">CP9*0.06</f>
        <v>0</v>
      </c>
      <c r="CZ9" s="34">
        <f t="shared" ref="CZ9:CZ18" si="9">IF(CY9=0,0,IF(BZ9=0,BM9+CV9+CW9,CG9+CV9+CW9))</f>
        <v>0</v>
      </c>
      <c r="DA9" s="235">
        <f>IF(AND(AH9&gt;0,DT9=0,EA9=0,EH9=0),I9*2,DY9+EF9+EM9+EQ9)</f>
        <v>0</v>
      </c>
      <c r="DB9" s="235">
        <f>IF(AND(AH9&gt;0,DV9=0,EC9=0,EJ9=0),J9*2,DZ9+EG9+EN9+ER9)</f>
        <v>0</v>
      </c>
      <c r="DC9" s="237">
        <f>IF(AND(AH9&gt;0,ES9=0,EZ9=0,FG9=0),AH9*4,EX9+FE9+FL9+FP9)</f>
        <v>84000</v>
      </c>
      <c r="DD9" s="237">
        <f>IF(AND(AH9&gt;0,EU9=0,FB9=0,FI9=0),AI9*4,EY9+FF9+FM9+FQ9)</f>
        <v>14000</v>
      </c>
      <c r="DE9" s="35">
        <f t="shared" ref="DE9:DE18" si="10">IF(CP9=0,0,IF(GC9+GJ9=0,CP9*6,IF(GJ9&gt;0,GO9+GS9,IF(GC9&gt;0,GH9,0))))</f>
        <v>0</v>
      </c>
      <c r="DF9" s="35">
        <f t="shared" ref="DF9:DF18" si="11">IF(CP9=0,0,IF(GC9+GJ9=0,CQ9*6,IF(GJ9&gt;0,GP9+GT9,IF(GC9&gt;0,GI9,0))))</f>
        <v>0</v>
      </c>
      <c r="DG9" s="236">
        <f t="shared" ref="DG9:DG18" si="12">DA9+DC9+DE9</f>
        <v>84000</v>
      </c>
      <c r="DH9" s="236">
        <f t="shared" ref="DH9:DH18" si="13">DB9+DD9+DF9</f>
        <v>14000</v>
      </c>
      <c r="DI9" s="236">
        <f>DG9+DH9</f>
        <v>98000</v>
      </c>
      <c r="DK9" s="6">
        <v>240240</v>
      </c>
      <c r="DL9" s="226">
        <v>240301</v>
      </c>
      <c r="DM9" s="226">
        <v>240391</v>
      </c>
      <c r="DN9" s="226">
        <v>240422</v>
      </c>
      <c r="DO9" s="226">
        <v>240575</v>
      </c>
      <c r="DP9" s="226">
        <v>240605</v>
      </c>
      <c r="DQ9" s="27" t="s">
        <v>46</v>
      </c>
      <c r="DR9" s="27" t="s">
        <v>47</v>
      </c>
      <c r="DS9" s="27" t="s">
        <v>48</v>
      </c>
      <c r="DT9" s="288">
        <f t="shared" ref="DT9:DT18" si="14">IF(R9=0,0,DATE(R9,DU9,P9))</f>
        <v>0</v>
      </c>
      <c r="DU9" s="272">
        <f t="shared" ref="DU9:DU18" si="15">IF(Q9="ต.ค.",10,IF(Q9="พ.ย.",11,0))</f>
        <v>0</v>
      </c>
      <c r="DV9" s="271">
        <f>IF(Q9="ต.ค.",31,IF(Q9="พ.ย.",30,0))</f>
        <v>0</v>
      </c>
      <c r="DW9" s="271">
        <f>IF(DU9=0,0,DATEDIF(DT9,DL9,DR9))</f>
        <v>0</v>
      </c>
      <c r="DX9" s="271">
        <f>IF(AND(DT9&gt;0,EA9=0,EH9=0),DATEDIF(DT9,DL9,DS9),0)+IF(DV9=31,1,0)</f>
        <v>0</v>
      </c>
      <c r="DY9" s="307">
        <f t="shared" ref="DY9:DY18" si="16">IF(AND(DW9=0,DX9=0),0,((N9*DW9)+((N9*DX9)/DV9)))</f>
        <v>0</v>
      </c>
      <c r="DZ9" s="307">
        <f t="shared" ref="DZ9:DZ18" si="17">IF(AND(DW9=0,DX9=0),0,((O9*DW9)+((O9*DX9)/DV9)))</f>
        <v>0</v>
      </c>
      <c r="EA9" s="288">
        <f t="shared" ref="EA9:EA18" si="18">IF(Z9=0,0,DATE(Z9,EB9,X9))</f>
        <v>0</v>
      </c>
      <c r="EB9" s="272">
        <f t="shared" ref="EB9:EB18" si="19">IF(Y9="ต.ค.",10,IF(Y9="พ.ย.",11,0))</f>
        <v>0</v>
      </c>
      <c r="EC9" s="271">
        <f t="shared" ref="EC9:EC18" si="20">IF(Y9="ต.ค.",31,IF(Y9="พ.ย.",30,0))</f>
        <v>0</v>
      </c>
      <c r="ED9" s="272">
        <f>IF(EA9=0,0,IF(AND(EA9&gt;0,DT9=0,EH9=0,AH9=0),DATEDIF(DK9,EA9,DR9)))</f>
        <v>0</v>
      </c>
      <c r="EE9" s="272">
        <f>IF(EA9=0,0,IF(AND(EA9&gt;0,DT9=0,EH9=0,AH9=0),DATEDIF(DK9,EA9,DS9),IF(AND(EA9&gt;0,DT9&gt;0,DT9&lt;EA9),DATEDIF(DT9,EA9,DS9),0)))</f>
        <v>0</v>
      </c>
      <c r="EF9" s="307">
        <f t="shared" ref="EF9:EF18" si="21">IF(AND(ED9=0,EE9=0),0,IF(OR(ED9&gt;0,EE9&gt;0),((V9*ED9)+((V9*EE9)/EC9))))</f>
        <v>0</v>
      </c>
      <c r="EG9" s="307">
        <f t="shared" ref="EG9:EG18" si="22">IF(AND(ED9=0,EE9=0),0,IF(OR(ED9&gt;0,EE9&gt;0),((W9*ED9)+((W9*EE9)/EC9))))</f>
        <v>0</v>
      </c>
      <c r="EH9" s="288">
        <f t="shared" ref="EH9:EH18" si="23">IF(AF9=0,0,DATE(AF9,EI9,AD9))</f>
        <v>0</v>
      </c>
      <c r="EI9" s="272">
        <f t="shared" ref="EI9:EI18" si="24">IF(AE9="ต.ค.",10,IF(AE9="พ.ย.",11,0))</f>
        <v>0</v>
      </c>
      <c r="EJ9" s="271">
        <f t="shared" ref="EJ9:EJ18" si="25">IF(AE9=0,0,IF(AE9="ต.ค.",31,IF(AE9="พ.ย.",30,0)))</f>
        <v>0</v>
      </c>
      <c r="EK9" s="271">
        <f>IF(OR(EH9&lt;DK9,EH9&gt;DL9),0,IF(AND(EH9&gt;0,DT9=0,EA9=0),DATEDIF(DK9,EH9,DR9),IF(AND(EH9&gt;0,DT9&gt;0,DT9&lt;EH9),DATEDIF(DT9,EH9,DR9),0)))</f>
        <v>0</v>
      </c>
      <c r="EL9" s="271">
        <f>IF(OR(EH9&lt;DK9,EH9&gt;DL9),0,IF(AND(EH9&gt;0,DT9=0,EA9=0),DATEDIF(DK9,EH9,DS9),IF(AND(EH9&gt;0,DT9&gt;0,DT9&lt;EH9),DATEDIF(DT9,EH9,DS9),0)))</f>
        <v>0</v>
      </c>
      <c r="EM9" s="290">
        <f t="shared" ref="EM9:EM18" si="26">IF(AND(EK9=0,EL9=0),0,IF((DT9+EA9=0),((I9*EK9)+((I9*EL9)/EJ9)),IF(AND(DT9&gt;0,DT9&lt;EH9),((N9*EK9)+((N9*EL9)/EJ9)),0)))</f>
        <v>0</v>
      </c>
      <c r="EN9" s="290">
        <f t="shared" ref="EN9:EN18" si="27">IF(AND(EK9=0,EL9=0),0,IF((DT9+EA9=0),((J9*EK9)+((J9*EL9)/EJ9)),IF(AND(DT9&gt;0,DT9&lt;EH9),((O9*EK9)+((O9*EL9)/EJ9)),0)))</f>
        <v>0</v>
      </c>
      <c r="EO9" s="271">
        <f>IF(OR(EH9&lt;DK9,EH9&gt;DL9),0,IF(AND(EH9&gt;0,EA9=0),DATEDIF(EH9,DL9,DR9)))</f>
        <v>0</v>
      </c>
      <c r="EP9" s="271">
        <f>IF(OR(EH9&lt;DK9,EH9&gt;DL9),0,IF(AND(EH9&gt;0,EA9=0),DATEDIF(EH9,DL9,DS9)))</f>
        <v>0</v>
      </c>
      <c r="EQ9" s="290">
        <f t="shared" ref="EQ9:EQ18" si="28">IF(AND(EO9=0,EP9=0),0,((AB9*EO9)+((AB9*EP9)/EJ9)))</f>
        <v>0</v>
      </c>
      <c r="ER9" s="290">
        <f t="shared" ref="ER9:ER18" si="29">IF(AND(EO9=0,EP9=0),0,((AC9*EO9)+((AC9*EP9)/EJ9)))</f>
        <v>0</v>
      </c>
      <c r="ES9" s="288">
        <f t="shared" ref="ES9:ES18" si="30">IF(AQ9=0,0,DATE(AQ9,ET9,AO9))</f>
        <v>0</v>
      </c>
      <c r="ET9" s="272">
        <f t="shared" ref="ET9:ET18" si="31">IF(AP9="ธ.ค.",12,IF(AP9="ม.ค.",1,IF(AP9="ก.พ.",2,IF(AP9="มี.ค.",3,0))))</f>
        <v>0</v>
      </c>
      <c r="EU9" s="271">
        <f>IF(OR(ET9=12,ET9=1,ET9=3),31,IF(ET9=2,28,0))</f>
        <v>0</v>
      </c>
      <c r="EV9" s="271">
        <f>IF(OR(ES9&lt;DL9,ES9&gt;=DN9),0,IF(AND(AH9=0,ES9&gt;0),DATEDIF(ES9,DN9,DR9),0))</f>
        <v>0</v>
      </c>
      <c r="EW9" s="271">
        <f>IF(OR(ES9&lt;DL9,ES9&gt;=DN9),0,IF(AND(AH9=0,ES9&gt;0),DATEDIF(ES9,DN9,DS9),0))</f>
        <v>0</v>
      </c>
      <c r="EX9" s="290">
        <f>IF(AND(EV9=0,EW9=0),0,IF(AND(AH9=0,ES9&gt;0),((AM9*EV9)+((AM9*EW9)/EU9)),0))</f>
        <v>0</v>
      </c>
      <c r="EY9" s="290">
        <f>IF(AND(EV9=0,EW9=0),0,IF(AND(AH9=0,AM9=0),0,IF(AND(AH9=0,ES9&gt;0),((AN9*EV9)+((AN9*EW9)/EU9)),0)))</f>
        <v>0</v>
      </c>
      <c r="EZ9" s="288">
        <f t="shared" ref="EZ9:EZ18" si="32">IF(FA9=0,0,DATE(AY9,FA9,AW9))</f>
        <v>0</v>
      </c>
      <c r="FA9" s="272">
        <f t="shared" ref="FA9:FA18" si="33">IF(AX9="ธ.ค.",12,IF(AX9="ม.ค.",1,IF(AX9="ก.พ.",2,IF(AX9="มี.ค.",3,0))))</f>
        <v>0</v>
      </c>
      <c r="FB9" s="271">
        <f>IF(FA9=0,0,IF(OR(FA9=1,FA9=3,FA9=12),31,IF(FA9=2,28,0)))</f>
        <v>0</v>
      </c>
      <c r="FC9" s="272">
        <f>IF(AND(AH9&gt;0,EZ9&gt;0),DATEDIF(DL9,EZ9,DR9),0)</f>
        <v>0</v>
      </c>
      <c r="FD9" s="272">
        <f>IF(OR(EZ9&lt;DL9,EZ9&gt;=DN9),0,IF(AND(AH9&gt;0,EZ9&gt;0),DATEDIF(DL9,EZ9,DS9),0))</f>
        <v>0</v>
      </c>
      <c r="FE9" s="290">
        <f t="shared" ref="FE9:FE18" si="34">IF(AND(FC9=0,FD9=0),0,IF(AH9&gt;0,((FC9*AH9)+((FD9*AH9)/FB9)),IF(AH9=0,((FC9*AU9)+((FD9*AU9)/FB9)))))</f>
        <v>0</v>
      </c>
      <c r="FF9" s="290">
        <f t="shared" ref="FF9:FF18" si="35">IF(AND(FC9=0,FD9=0),0,IF(AH9&gt;0,((FC9*AI9)+((FD9*AI9)/FB9)),IF(AH9=0,((FC9*AV9)+((FD9*AV9)/FB9)))))</f>
        <v>0</v>
      </c>
      <c r="FG9" s="288">
        <f t="shared" ref="FG9:FG18" si="36">IF(BE9=0,0,DATE(BE9,FH9,BC9))</f>
        <v>0</v>
      </c>
      <c r="FH9" s="272">
        <f t="shared" ref="FH9:FH18" si="37">IF(BD9="ธ.ค.",12,IF(BD9="ม.ค.",1,IF(BD9="ก.พ.",2,IF(BD9="มี.ค.",3,0))))</f>
        <v>0</v>
      </c>
      <c r="FI9" s="271">
        <f>IF(FG9=0,0,IF(OR(FH99=12,FH9=1,FH9=3),31,IF(FH9=2,28,0)))</f>
        <v>0</v>
      </c>
      <c r="FJ9" s="293">
        <f t="shared" ref="FJ9:FJ18" si="38">IF(AND(AH9&gt;0,FG9&gt;0,EZ9=0),DATEDIF(DL9,FG9,DR9),IF(AND(AH9=0,ES9&gt;0,FG9&gt;0),DATEDIF(ES9,FG9,DR9),0))</f>
        <v>0</v>
      </c>
      <c r="FK9" s="293">
        <f t="shared" ref="FK9:FK18" si="39">IF(AND(AH9&gt;0,FG9&gt;0,EZ9=0),DATEDIF(DL9,FG9,DS9),IF(AND(AH9=0,ES9&gt;0,FG9&gt;0),DATEDIF(ES9,FG9,DS9),0))</f>
        <v>0</v>
      </c>
      <c r="FL9" s="290">
        <f t="shared" ref="FL9:FL18" si="40">IF(AND(FJ9=0,FK9=0),0,IF(AND(AH9&gt;0,FG9&gt;0),((AH9*FJ9)+((AH9*FK9)/FI9)),IF(AND(AH9=0,ES9&gt;0,FG9&gt;0),((AM9*FJ9)+((AM9*FK9)/FI9)),0)))</f>
        <v>0</v>
      </c>
      <c r="FM9" s="290">
        <f t="shared" ref="FM9:FM18" si="41">IF(AND(FJ9=0,FK9=0),0,IF(AND(AH9&gt;0,FG9&gt;0),((AI9*FJ9)+((AI9*FK9)/FI9)),IF(AND(AH9=0,ES9&gt;0,FG9&gt;0),((AN9*FJ9)+((AN9*FK9)/FI9)),0)))</f>
        <v>0</v>
      </c>
      <c r="FN9" s="293">
        <f t="shared" ref="FN9:FN18" si="42">IF(AND(AH9&gt;0,FG9&gt;0,EZ9=0),DATEDIF(FG9,DN9,DR9),IF(AND(FG9&gt;0,EZ9&gt;0,FG9&lt;EZ9),DATEDIF(FG9,EZ9,DR9),IF(AND(AH9=0,ES9&gt;0,FG9&gt;0),DATEDIF(FG9,DN9,DR9),0)))</f>
        <v>0</v>
      </c>
      <c r="FO9" s="293">
        <f>IF(AND(AH9&gt;0,FG9&gt;0,EZ9=0),DATEDIF(FG9,DN9,DS9),IF(AND(FG9&gt;0,EZ9&gt;0,FG9&lt;EZ9),DATEDIF(FG9,EZ9,DS9),IF(AND(AH9&gt;0,FG9&gt;0,ES9&gt;0),DATEDIF(FG9,DN9,DS9),0)))+IF(FI9=28,-3)</f>
        <v>0</v>
      </c>
      <c r="FP9" s="290">
        <f t="shared" ref="FP9:FP18" si="43">IF(AND(FN9=0,FO9=0),0,IF(EZ9=0,((BA9*FN9)+((BA9*FO9)/FI9)),0))</f>
        <v>0</v>
      </c>
      <c r="FQ9" s="290">
        <f t="shared" ref="FQ9:FQ18" si="44">IF(AND(FN9=0,FO9=0),0,IF(EZ9=0,((BB9*FN9)+((BB9*FO9)/FI9)),0))</f>
        <v>0</v>
      </c>
      <c r="FR9" s="272">
        <f t="shared" ref="FR9:FR18" si="45">IF(BJ9=2,0.5,IF(BJ9=4,1,0))+BI9</f>
        <v>0</v>
      </c>
      <c r="FS9" s="294">
        <f t="shared" ref="FS9:FS18" si="46">IF(BK9=0,0,IF(BK9="คศ.4","ก",IF(OR(BK9="คศ.3",BK9="คศ.2",BK9="คศ.1",BK9="ครูผู้ช่วย"),"ข"))&amp;FR9)</f>
        <v>0</v>
      </c>
      <c r="FT9" s="31">
        <f t="shared" ref="FT9:FT18" si="47">BM9</f>
        <v>0</v>
      </c>
      <c r="FU9" s="292">
        <f t="shared" ref="FU9:FU18" si="48">IF(BJ9=2,BL9*0.02,IF(BJ9=4,BL9*0.04,0))</f>
        <v>0</v>
      </c>
      <c r="FV9" s="288">
        <f t="shared" ref="FV9:FV18" si="49">IF(BV9=0,0,DATE(BV9,FW9,BT9))</f>
        <v>0</v>
      </c>
      <c r="FW9" s="272">
        <f t="shared" ref="FW9:FW18" si="50">IF(BU9="เม.ย.",4,IF(BU9="พ.ค.",5,IF(BU9="มิ.ย.",6,IF(BU9="ก.ค.",7,IF(BU9="ส.ค.",8,IF(BU9="ก.ย.",9,0))))))</f>
        <v>0</v>
      </c>
      <c r="FX9" s="271">
        <f>IF(FW9=0,0,IF(OR(FW9=4,FW9=6,FW9=9),30,IF(OR(FW9=5,FW9=7,FW9=8),31,0)))</f>
        <v>0</v>
      </c>
      <c r="FY9" s="272">
        <f t="shared" ref="FY9:FY18" si="51">IF(OR(FV9&lt;DL9,FV9&gt;=DP9),0,IF(AND(BL9&gt;0,FV9&gt;0),DATEDIF(DN9,FV9,DR9),IF(AND(BL9=0,GC9&gt;0,FV9&gt;0),DATEDIF(GC9,FV9,DR9),0)))</f>
        <v>0</v>
      </c>
      <c r="FZ9" s="272">
        <f t="shared" ref="FZ9:FZ18" si="52">IF(OR(FV9&lt;DN9,FV9&gt;=DP9),0,IF(AND(BL9&gt;0,FV9&gt;0),DATEDIF(DN9,FV9,DS9),IF(AND(BL9=0,GC9&gt;0,FV9&gt;0),DATEDIF(GC9,FV9,DS9),0)))</f>
        <v>0</v>
      </c>
      <c r="GA9" s="290">
        <f t="shared" ref="GA9:GA18" si="53">IF(AND(FY9=0,FZ9=0),0,(BR9*FY9)+((BR9*FZ9)/FX9))</f>
        <v>0</v>
      </c>
      <c r="GB9" s="290">
        <f t="shared" ref="GB9:GB18" si="54">IF(BU9&gt;9,0,IF(BU9&lt;4,0,(BS9*FY9)+((BS9*FZ9)/FX9)))</f>
        <v>0</v>
      </c>
      <c r="GC9" s="288">
        <f t="shared" ref="GC9:GC18" si="55">IF(CD9=0,0,DATE(CD9,GD9,CB9))</f>
        <v>0</v>
      </c>
      <c r="GD9" s="272">
        <f t="shared" ref="GD9:GD18" si="56">IF(CC9="เม.ย.",4,IF(CC9="พ.ค.",5,IF(CC9="มิ.ย.",6,IF(CC9="ก.ค.",7,IF(CC9="ส.ค.",8,IF(CC9="ก.ย.",9,0))))))</f>
        <v>0</v>
      </c>
      <c r="GE9" s="271">
        <f>IF(GD9=0,0,IF(OR(GD9=4,GD9=6,GD9=9),30,IF(OR(GD9=5,GD9=7,GD9=8),31,0)))</f>
        <v>0</v>
      </c>
      <c r="GF9" s="272">
        <f t="shared" ref="GF9:GF18" si="57">IF(AND(GC9&gt;0,FV9=0),DATEDIF(GC9,DP9,DR9),IF(AND(GC9&gt;0,FV9&gt;0,GC9&lt;FV9),DATEDIF(GC9,FV9,DR9),0))</f>
        <v>0</v>
      </c>
      <c r="GG9" s="272">
        <f t="shared" ref="GG9:GG18" si="58">IF(AND(GC9&gt;0,FV9=0),DATEDIF(GC9,DP9,DS9),IF(AND(GC9&gt;0,FV9&gt;0,GC9&lt;FV9),DATEDIF(GC9,FV9,DS9),0))</f>
        <v>0</v>
      </c>
      <c r="GH9" s="290">
        <f t="shared" ref="GH9:GH18" si="59">IF(AND(GF9=0,GG9=0),0,(BZ9*GF9)+((BZ9*GG9)/GE9))</f>
        <v>0</v>
      </c>
      <c r="GI9" s="290">
        <f t="shared" ref="GI9:GI18" si="60">IF(AND(GF9=0,GG9=0),0,(CA9*GF9)+((CA9*GG9)/GE9))</f>
        <v>0</v>
      </c>
      <c r="GJ9" s="288">
        <f t="shared" ref="GJ9:GJ18" si="61">IF(CN9=0,0,DATE(CN9,GK9,CL9))</f>
        <v>0</v>
      </c>
      <c r="GK9" s="272">
        <f t="shared" ref="GK9:GK18" si="62">IF(CM9="เม.ย.",4,IF(CM9="พ.ค.",5,IF(CM9="มิ.ย.",6,IF(CM9="ก.ค.",7,IF(CM9="ส.ค.",8,IF(CM9="ก.ย.",9,0))))))</f>
        <v>0</v>
      </c>
      <c r="GL9" s="271">
        <f>IF(GK9=0,0,IF(OR(GK9=4,GK9=6,GK9=9),30,IF(OR(GK9=5,GK9=7,GK9=8),31,0)))</f>
        <v>0</v>
      </c>
      <c r="GM9" s="271">
        <f t="shared" ref="GM9:GM18" si="63">IF(GJ9=0,0,IF(AND(BL9&gt;0,GJ9&gt;0,FV9=0),DATEDIF(DN9,GJ9,DR9),IF(AND(BL9=0,GC9&gt;0),DATEDIF(GC9,GJ9,DR9),0)))</f>
        <v>0</v>
      </c>
      <c r="GN9" s="271">
        <f t="shared" ref="GN9:GN18" si="64">IF(GJ9=0,0,IF(AND(BL9&gt;0,GJ9&gt;0,FV9=0),DATEDIF(DN9,GJ9,DS9),IF(AND(BL9=0,GC9&gt;0),DATEDIF(GC9,GJ9,DS9),0)))</f>
        <v>0</v>
      </c>
      <c r="GO9" s="290">
        <f t="shared" ref="GO9:GO18" si="65">IF(AND(GM9=0,GN9=0),0,IF(BL9=0,(BZ9*GM9)+((BZ9*GN9)/GL9),IF(BL9&gt;0,(BL9*GM9)+((BL9*GN9)/GL9),0)))</f>
        <v>0</v>
      </c>
      <c r="GP9" s="290">
        <f t="shared" ref="GP9:GP18" si="66">IF(AND(GM9=0,GN9=0),0,IF(BL9=0,(CA9*GM9)+((CA9*GN9)/GL9),IF(BL9&gt;0,(BM9*GM9)+((BM9*GN9)/GL9),0)))</f>
        <v>0</v>
      </c>
      <c r="GQ9" s="271">
        <f t="shared" ref="GQ9:GQ18" si="67">IF(AND(GJ9&gt;0,FV9=0),DATEDIF(GJ9,DP9,DR9),IF(AND(GJ9&gt;0,FV9&gt;0,GJ9&lt;FV9),DATEDIF(GJ9,FV9,DR9),0))</f>
        <v>0</v>
      </c>
      <c r="GR9" s="271">
        <f t="shared" ref="GR9:GR18" si="68">IF(AND(GJ9&gt;0,FV9=0),DATEDIF(GJ9,DP9,DS9),IF(AND(GJ9&gt;0,FV9&gt;0,GJ9&lt;FV9),DATEDIF(GJ9,FV9,DS9),0))</f>
        <v>0</v>
      </c>
      <c r="GS9" s="290">
        <f t="shared" ref="GS9:GS18" si="69">IF(AND(GQ9=0,GR9=0),0,(CJ9*GQ9)+(CJ9*GR9)/GL9)</f>
        <v>0</v>
      </c>
      <c r="GT9" s="290">
        <f t="shared" ref="GT9:GT18" si="70">IF(AND(GQ9=0,GR9=0),0,(CK9*GQ9)+(CK9*GR9)/GL9)</f>
        <v>0</v>
      </c>
      <c r="GU9" s="296">
        <f t="shared" ref="GU9:GU18" si="71">IF(CS9=2,0.5,IF(CS9=4,1,IF(CS9=6,1.5,0)))+CR9</f>
        <v>0</v>
      </c>
      <c r="GV9" s="291">
        <f t="shared" ref="GV9:GV18" si="72">IF(GU9=0,0,IF(CT9="คศ.4","ก"&amp;GU9,IF(OR(CT9="คศ.3",CT9="คศ.2",CT9="คศ.1",CT9="ครูผู้ช่วย"),"ข"&amp;GU9)))</f>
        <v>0</v>
      </c>
      <c r="GW9" s="30">
        <f t="shared" ref="GW9:GW18" si="73">CV9</f>
        <v>0</v>
      </c>
      <c r="GX9" s="31">
        <f t="shared" ref="GX9:GX18" si="74">IF(CS9=2,(CU9*0.02),IF(CS9=4,(CU9*0.04),IF(CS9=6,(CU9*0.06),0)))</f>
        <v>0</v>
      </c>
      <c r="GY9" s="301">
        <f t="shared" ref="GY9:GY18" si="75">IF(AND(BL9&gt;0,FV9=0,CU9&gt;0),FR9+GU9,IF(AND(BL9=0,GC9&gt;0,CU9&gt;0),CE9+CR9,0))</f>
        <v>0</v>
      </c>
      <c r="GZ9" s="294">
        <f t="shared" ref="GZ9:GZ18" si="76">IF(CP9=0,0,IF(AND(BK9="คศ.4",CT9="คศ.4"),"ก",IF(AND(CT9="คศ.4",BK9&lt;&gt;"คศ.4"),"ข"&amp;GX9,IF(OR(CT9="คศ.3",CT9="คศ.2",CT9="คศ.1",CT9="ครูผู้ช่วย"),"ข"))))</f>
        <v>0</v>
      </c>
      <c r="HA9" s="294">
        <f t="shared" ref="HA9:HA18" si="77">IF(GY9=0,0,IF(AND(BK9="คศ.4",CT9="คศ.4"),"ก"&amp;GY9,IF(AND(CT9="คศ.4",BK9&lt;&gt;"คศ.4"),"ข"&amp;GY9,IF(OR(CT9="คศ.3",CT9="คศ.2",CT9="คศ.1",CT9="ครูผู้ช่วย"),"ข"&amp;GY9))))</f>
        <v>0</v>
      </c>
      <c r="HB9" s="31">
        <f t="shared" ref="HB9:HB18" si="78">IF(CU9&gt;0,0,IF(BR9&gt;0,BR9,IF(V9&gt;0,V9,I9)))</f>
        <v>0</v>
      </c>
    </row>
    <row r="10" spans="1:210" ht="24" x14ac:dyDescent="0.55000000000000004">
      <c r="A10" s="4">
        <v>2</v>
      </c>
      <c r="B10" s="26"/>
      <c r="C10" s="26"/>
      <c r="D10" s="26"/>
      <c r="E10" s="26"/>
      <c r="F10" s="26"/>
      <c r="G10" s="26"/>
      <c r="H10" s="4"/>
      <c r="I10" s="5"/>
      <c r="J10" s="7"/>
      <c r="K10" s="28"/>
      <c r="L10" s="28"/>
      <c r="M10" s="4"/>
      <c r="N10" s="5"/>
      <c r="O10" s="7"/>
      <c r="P10" s="193"/>
      <c r="Q10" s="193"/>
      <c r="R10" s="194"/>
      <c r="S10" s="31"/>
      <c r="T10" s="31"/>
      <c r="U10" s="4"/>
      <c r="V10" s="5"/>
      <c r="W10" s="7"/>
      <c r="X10" s="193"/>
      <c r="Y10" s="193"/>
      <c r="Z10" s="193"/>
      <c r="AA10" s="30"/>
      <c r="AB10" s="5"/>
      <c r="AC10" s="7"/>
      <c r="AD10" s="193"/>
      <c r="AE10" s="193"/>
      <c r="AF10" s="193"/>
      <c r="AG10" s="4"/>
      <c r="AH10" s="5"/>
      <c r="AI10" s="7"/>
      <c r="AJ10" s="31"/>
      <c r="AK10" s="28"/>
      <c r="AL10" s="4"/>
      <c r="AM10" s="31"/>
      <c r="AN10" s="7"/>
      <c r="AO10" s="231"/>
      <c r="AP10" s="231"/>
      <c r="AQ10" s="231"/>
      <c r="AR10" s="31"/>
      <c r="AS10" s="31"/>
      <c r="AT10" s="4"/>
      <c r="AU10" s="31"/>
      <c r="AV10" s="7"/>
      <c r="AW10" s="231"/>
      <c r="AX10" s="231"/>
      <c r="AY10" s="231"/>
      <c r="AZ10" s="30"/>
      <c r="BA10" s="31"/>
      <c r="BB10" s="7"/>
      <c r="BC10" s="231"/>
      <c r="BD10" s="231"/>
      <c r="BE10" s="231"/>
      <c r="BF10" s="310">
        <f t="shared" si="0"/>
        <v>0</v>
      </c>
      <c r="BG10" s="310">
        <f t="shared" si="1"/>
        <v>0</v>
      </c>
      <c r="BH10" s="311">
        <f t="shared" ref="BH10:BH18" si="79">IF(BF10="คศ.2",3500,IF(BF10="คศ.3",5600,IF(BF10="คศ.4",9900,0)))</f>
        <v>0</v>
      </c>
      <c r="BI10" s="29"/>
      <c r="BJ10" s="29"/>
      <c r="BK10" s="4"/>
      <c r="BL10" s="5"/>
      <c r="BM10" s="7">
        <f t="shared" si="2"/>
        <v>0</v>
      </c>
      <c r="BN10" s="197">
        <f t="shared" si="3"/>
        <v>0</v>
      </c>
      <c r="BO10" s="31"/>
      <c r="BP10" s="31"/>
      <c r="BQ10" s="4"/>
      <c r="BR10" s="31"/>
      <c r="BS10" s="7"/>
      <c r="BT10" s="32"/>
      <c r="BU10" s="32"/>
      <c r="BV10" s="32"/>
      <c r="BW10" s="31"/>
      <c r="BX10" s="28"/>
      <c r="BY10" s="4"/>
      <c r="BZ10" s="31"/>
      <c r="CA10" s="7"/>
      <c r="CB10" s="32"/>
      <c r="CC10" s="32"/>
      <c r="CD10" s="32"/>
      <c r="CE10" s="29"/>
      <c r="CF10" s="61" t="str">
        <f t="shared" si="4"/>
        <v>0</v>
      </c>
      <c r="CG10" s="28"/>
      <c r="CH10" s="28"/>
      <c r="CI10" s="30"/>
      <c r="CJ10" s="31"/>
      <c r="CK10" s="7"/>
      <c r="CL10" s="32"/>
      <c r="CM10" s="32"/>
      <c r="CN10" s="32"/>
      <c r="CO10" s="266">
        <f t="shared" si="5"/>
        <v>0</v>
      </c>
      <c r="CP10" s="308">
        <f t="shared" si="6"/>
        <v>0</v>
      </c>
      <c r="CQ10" s="7"/>
      <c r="CR10" s="202"/>
      <c r="CS10" s="4"/>
      <c r="CT10" s="4"/>
      <c r="CU10" s="5"/>
      <c r="CV10" s="7">
        <f t="shared" ref="CV10:CV11" si="80">IF(CU10=0,0,IF(CR10=0,0,IF(GJ10&gt;DO10,(CU10-CJ10),IF(GC10&gt;DO10,0,IF(AND(CO10=2,CP10=37830),CU10-37900,IF(AND(CO10=3,CP10=53080),CU10-53820,IF(AND(CO10=4,CP10=62760),CU10-62820,CU10-CP10)))))))</f>
        <v>0</v>
      </c>
      <c r="CW10" s="7">
        <f t="shared" si="7"/>
        <v>0</v>
      </c>
      <c r="CX10" s="33">
        <f t="shared" ref="CX10:CX18" si="81">GY10</f>
        <v>0</v>
      </c>
      <c r="CY10" s="34">
        <f t="shared" si="8"/>
        <v>0</v>
      </c>
      <c r="CZ10" s="34">
        <f t="shared" si="9"/>
        <v>0</v>
      </c>
      <c r="DA10" s="235">
        <f t="shared" ref="DA10:DA18" si="82">IF(AND(AH10&gt;0,DT10=0,EA10=0,EH10=0),I10*3,DY10+EF10+EM10+EQ10)</f>
        <v>0</v>
      </c>
      <c r="DB10" s="235">
        <f t="shared" ref="DB10:DB18" si="83">IF(AND(AH10&gt;0,DV10=0,EC10=0,EJ10=0),J10*2,DZ10+EG10+EN10+ER10)</f>
        <v>0</v>
      </c>
      <c r="DC10" s="237">
        <f t="shared" ref="DC10:DC18" si="84">IF(AND(AH10&gt;0,ES10=0,EZ10=0,FG10=0),AH10*4,EX10+FE10+FL10+FP10)</f>
        <v>0</v>
      </c>
      <c r="DD10" s="237">
        <f t="shared" ref="DD10:DD18" si="85">IF(AND(AH10&gt;0,EU10=0,FB10=0,FI10=0),AI10*4,EY10+FF10+FM10+FQ10)</f>
        <v>0</v>
      </c>
      <c r="DE10" s="35">
        <f t="shared" si="10"/>
        <v>0</v>
      </c>
      <c r="DF10" s="35">
        <f t="shared" si="11"/>
        <v>0</v>
      </c>
      <c r="DG10" s="236">
        <f t="shared" si="12"/>
        <v>0</v>
      </c>
      <c r="DH10" s="236">
        <f t="shared" si="13"/>
        <v>0</v>
      </c>
      <c r="DI10" s="236">
        <f t="shared" ref="DI10:DI18" si="86">DG10+DH10</f>
        <v>0</v>
      </c>
      <c r="DK10" s="6">
        <v>240240</v>
      </c>
      <c r="DL10" s="226">
        <v>240301</v>
      </c>
      <c r="DM10" s="226">
        <v>240391</v>
      </c>
      <c r="DN10" s="226">
        <v>240422</v>
      </c>
      <c r="DO10" s="226">
        <v>240575</v>
      </c>
      <c r="DP10" s="226">
        <v>240605</v>
      </c>
      <c r="DQ10" s="27" t="s">
        <v>46</v>
      </c>
      <c r="DR10" s="27" t="s">
        <v>47</v>
      </c>
      <c r="DS10" s="27" t="s">
        <v>48</v>
      </c>
      <c r="DT10" s="288">
        <f t="shared" si="14"/>
        <v>0</v>
      </c>
      <c r="DU10" s="272">
        <f t="shared" si="15"/>
        <v>0</v>
      </c>
      <c r="DV10" s="271">
        <f t="shared" ref="DV10:DV18" si="87">IF(Q10="ต.ค.",31,IF(Q10="พ.ย.",30,0))</f>
        <v>0</v>
      </c>
      <c r="DW10" s="271">
        <f t="shared" ref="DW10:DW18" si="88">IF(DU10=0,0,DATEDIF(DT10,DL10,DR10))</f>
        <v>0</v>
      </c>
      <c r="DX10" s="271">
        <f t="shared" ref="DX10:DX18" si="89">IF(AND(DT10&gt;0,EA10=0,EH10=0),DATEDIF(DT10,DL10,DS10),0)+IF(DV10=31,1,0)</f>
        <v>0</v>
      </c>
      <c r="DY10" s="307">
        <f t="shared" si="16"/>
        <v>0</v>
      </c>
      <c r="DZ10" s="307">
        <f t="shared" si="17"/>
        <v>0</v>
      </c>
      <c r="EA10" s="288">
        <f t="shared" si="18"/>
        <v>0</v>
      </c>
      <c r="EB10" s="272">
        <f t="shared" si="19"/>
        <v>0</v>
      </c>
      <c r="EC10" s="271">
        <f t="shared" si="20"/>
        <v>0</v>
      </c>
      <c r="ED10" s="272">
        <f>IF(EA10=0,0,IF(AND(EA10&gt;0,DT10=0,EH10=0,AH10=0),DATEDIF(DK10,EA10,DR10),IF(AND(EA10&gt;0,DT10&gt;0,DT10&lt;EA10),DATEDIF(DT10,EA10,DR10),0)))</f>
        <v>0</v>
      </c>
      <c r="EE10" s="272">
        <f>IF(EA10=0,0,IF(AND(EA10&gt;0,DT10=0,EH10=0,AH10=0),DATEDIF(DK10,EA10,DS10),IF(AND(EA10&gt;0,DT10&gt;0,DT10&lt;EA10),DATEDIF(DT10,EA10,DS10),0)))</f>
        <v>0</v>
      </c>
      <c r="EF10" s="307">
        <f t="shared" si="21"/>
        <v>0</v>
      </c>
      <c r="EG10" s="307">
        <f t="shared" si="22"/>
        <v>0</v>
      </c>
      <c r="EH10" s="288">
        <f t="shared" si="23"/>
        <v>0</v>
      </c>
      <c r="EI10" s="272">
        <f t="shared" si="24"/>
        <v>0</v>
      </c>
      <c r="EJ10" s="271">
        <f t="shared" si="25"/>
        <v>0</v>
      </c>
      <c r="EK10" s="271">
        <f>IF(OR(EH10&lt;DK10,EH10&gt;DL10),0,IF(AND(EH10&gt;0,DT10=0,EA10=0),DATEDIF(DK10,EH10,DR10),IF(AND(EH10&gt;0,DT10&gt;0,DT10&lt;EH10),DATEDIF(DT10,EH10,DR10),0)))</f>
        <v>0</v>
      </c>
      <c r="EL10" s="271">
        <f>IF(OR(EH10&lt;DK10,EH10&gt;DL10),0,IF(AND(EH10&gt;0,DT10=0,EA10=0),DATEDIF(DK10,EH10,DS10),IF(AND(EH10&gt;0,DT10&gt;0,DT10&lt;EH10),DATEDIF(DT10,EH10,DS10),0)))</f>
        <v>0</v>
      </c>
      <c r="EM10" s="290">
        <f t="shared" si="26"/>
        <v>0</v>
      </c>
      <c r="EN10" s="290">
        <f t="shared" si="27"/>
        <v>0</v>
      </c>
      <c r="EO10" s="271">
        <f>IF(OR(EH10&lt;DK10,EH10&gt;DL10),0,IF(AND(EH10&gt;0,EA10=0),DATEDIF(EH10,DL10,DR10)))</f>
        <v>0</v>
      </c>
      <c r="EP10" s="271">
        <f>IF(OR(EH10&lt;DK10,EH10&gt;DL10),0,IF(AND(EH10&gt;0,EA10=0),DATEDIF(EH10,DL10,DS10)))</f>
        <v>0</v>
      </c>
      <c r="EQ10" s="290">
        <f t="shared" si="28"/>
        <v>0</v>
      </c>
      <c r="ER10" s="290">
        <f t="shared" si="29"/>
        <v>0</v>
      </c>
      <c r="ES10" s="288">
        <f t="shared" si="30"/>
        <v>0</v>
      </c>
      <c r="ET10" s="272">
        <f t="shared" si="31"/>
        <v>0</v>
      </c>
      <c r="EU10" s="271">
        <f t="shared" ref="EU10:EU18" si="90">IF(OR(ET10=12,ET10=1,ET10=3),31,IF(ET10=2,28,0))</f>
        <v>0</v>
      </c>
      <c r="EV10" s="271">
        <f>IF(OR(ES10&lt;DL10,ES10&gt;=DN10),0,IF(AND(AH10=0,ES10&gt;0),DATEDIF(ES10,DN10,DR10),0))</f>
        <v>0</v>
      </c>
      <c r="EW10" s="271">
        <f>IF(OR(ES10&lt;DL10,ES10&gt;=DN10),0,IF(AND(AH10=0,ES10&gt;0),DATEDIF(ES10,DN10,DS10),0))</f>
        <v>0</v>
      </c>
      <c r="EX10" s="290">
        <f>IF(AND(EV10=0,EW10=0),0,IF(AND(AH10=0,ES10&gt;0),((AM10*EV10)+((AM10*EW10)/EU10)),0))</f>
        <v>0</v>
      </c>
      <c r="EY10" s="290">
        <f>IF(AND(EV10=0,EW10=0),0,IF(AND(AH10=0,AM10=0),0,IF(AND(AH10=0,ES10&gt;0),((AN10*EV10)+((AN10*EW10)/EU10)),0)))</f>
        <v>0</v>
      </c>
      <c r="EZ10" s="288">
        <f t="shared" si="32"/>
        <v>0</v>
      </c>
      <c r="FA10" s="272">
        <f t="shared" si="33"/>
        <v>0</v>
      </c>
      <c r="FB10" s="271">
        <f t="shared" ref="FB10:FB18" si="91">IF(FA10=0,0,IF(OR(FA10=1,FA10=3,FA10=12),31,IF(FA10=2,28,0)))</f>
        <v>0</v>
      </c>
      <c r="FC10" s="272">
        <f>IF(OR(EZ10&lt;DL10,EZ10&gt;=DN10),0,IF(AND(AH10&gt;0,EZ10&gt;0),DATEDIF(DL10,EZ10,DR10),0))</f>
        <v>0</v>
      </c>
      <c r="FD10" s="272">
        <f>IF(OR(EZ10&lt;DL10,EZ10&gt;=DN10),0,IF(AND(AH10&gt;0,EZ10&gt;0),DATEDIF(DL10,EZ10,DS10),0))</f>
        <v>0</v>
      </c>
      <c r="FE10" s="290">
        <f t="shared" si="34"/>
        <v>0</v>
      </c>
      <c r="FF10" s="290">
        <f t="shared" si="35"/>
        <v>0</v>
      </c>
      <c r="FG10" s="288">
        <f t="shared" si="36"/>
        <v>0</v>
      </c>
      <c r="FH10" s="272">
        <f t="shared" si="37"/>
        <v>0</v>
      </c>
      <c r="FI10" s="271">
        <f t="shared" ref="FI10:FI18" si="92">IF(FG10=0,0,IF(OR(FH100=12,FH10=1,FH10=3),31,IF(FH10=2,28,0)))</f>
        <v>0</v>
      </c>
      <c r="FJ10" s="293">
        <f t="shared" si="38"/>
        <v>0</v>
      </c>
      <c r="FK10" s="293">
        <f t="shared" si="39"/>
        <v>0</v>
      </c>
      <c r="FL10" s="290">
        <f t="shared" si="40"/>
        <v>0</v>
      </c>
      <c r="FM10" s="290">
        <f t="shared" si="41"/>
        <v>0</v>
      </c>
      <c r="FN10" s="293">
        <f t="shared" si="42"/>
        <v>0</v>
      </c>
      <c r="FO10" s="293">
        <f>IF(AND(AH10&gt;0,FG10&gt;0,EZ10=0),DATEDIF(FG10,DN10,DS10),IF(AND(FG10&gt;0,EZ10&gt;0,FG10&lt;EZ10),DATEDIF(FG10,EZ10,DS10),IF(AND(AH10&gt;0,FG10&gt;0,ES10&gt;0),DATEDIF(FG10,DN10,DS10),0)))+IF(FI10=28,-3)</f>
        <v>0</v>
      </c>
      <c r="FP10" s="290">
        <f t="shared" si="43"/>
        <v>0</v>
      </c>
      <c r="FQ10" s="290">
        <f t="shared" si="44"/>
        <v>0</v>
      </c>
      <c r="FR10" s="272">
        <f t="shared" si="45"/>
        <v>0</v>
      </c>
      <c r="FS10" s="294">
        <f t="shared" si="46"/>
        <v>0</v>
      </c>
      <c r="FT10" s="31">
        <f t="shared" si="47"/>
        <v>0</v>
      </c>
      <c r="FU10" s="292">
        <f t="shared" si="48"/>
        <v>0</v>
      </c>
      <c r="FV10" s="288">
        <f t="shared" si="49"/>
        <v>0</v>
      </c>
      <c r="FW10" s="272">
        <f t="shared" si="50"/>
        <v>0</v>
      </c>
      <c r="FX10" s="271">
        <f t="shared" ref="FX10:FX18" si="93">IF(FW10=0,0,IF(OR(FW10=4,FW10=6,FW10=9),30,IF(OR(FW10=5,FW10=7,FW10=8),31,0)))</f>
        <v>0</v>
      </c>
      <c r="FY10" s="272">
        <f t="shared" si="51"/>
        <v>0</v>
      </c>
      <c r="FZ10" s="272">
        <f t="shared" si="52"/>
        <v>0</v>
      </c>
      <c r="GA10" s="290">
        <f t="shared" si="53"/>
        <v>0</v>
      </c>
      <c r="GB10" s="290">
        <f t="shared" si="54"/>
        <v>0</v>
      </c>
      <c r="GC10" s="288">
        <f t="shared" si="55"/>
        <v>0</v>
      </c>
      <c r="GD10" s="272">
        <f t="shared" si="56"/>
        <v>0</v>
      </c>
      <c r="GE10" s="271">
        <f t="shared" ref="GE10:GE18" si="94">IF(GD10=0,0,IF(OR(GD10=4,GD10=6,GD10=9),30,IF(OR(GD10=5,GD10=7,GD10=8),31,0)))</f>
        <v>0</v>
      </c>
      <c r="GF10" s="272">
        <f t="shared" si="57"/>
        <v>0</v>
      </c>
      <c r="GG10" s="272">
        <f t="shared" si="58"/>
        <v>0</v>
      </c>
      <c r="GH10" s="290">
        <f t="shared" si="59"/>
        <v>0</v>
      </c>
      <c r="GI10" s="290">
        <f t="shared" si="60"/>
        <v>0</v>
      </c>
      <c r="GJ10" s="288">
        <f t="shared" si="61"/>
        <v>0</v>
      </c>
      <c r="GK10" s="272">
        <f t="shared" si="62"/>
        <v>0</v>
      </c>
      <c r="GL10" s="271">
        <f t="shared" ref="GL10:GL18" si="95">IF(GK10=0,0,IF(OR(GK10=4,GK10=6,GK10=9),30,IF(OR(GK10=5,GK10=7,GK10=8),31,0)))</f>
        <v>0</v>
      </c>
      <c r="GM10" s="271">
        <f t="shared" si="63"/>
        <v>0</v>
      </c>
      <c r="GN10" s="271">
        <f t="shared" si="64"/>
        <v>0</v>
      </c>
      <c r="GO10" s="290">
        <f t="shared" si="65"/>
        <v>0</v>
      </c>
      <c r="GP10" s="290">
        <f t="shared" si="66"/>
        <v>0</v>
      </c>
      <c r="GQ10" s="271">
        <f t="shared" si="67"/>
        <v>0</v>
      </c>
      <c r="GR10" s="271">
        <f t="shared" si="68"/>
        <v>0</v>
      </c>
      <c r="GS10" s="290">
        <f t="shared" si="69"/>
        <v>0</v>
      </c>
      <c r="GT10" s="290">
        <f t="shared" si="70"/>
        <v>0</v>
      </c>
      <c r="GU10" s="296">
        <f t="shared" si="71"/>
        <v>0</v>
      </c>
      <c r="GV10" s="291">
        <f t="shared" si="72"/>
        <v>0</v>
      </c>
      <c r="GW10" s="30">
        <f t="shared" si="73"/>
        <v>0</v>
      </c>
      <c r="GX10" s="31">
        <f t="shared" si="74"/>
        <v>0</v>
      </c>
      <c r="GY10" s="301">
        <f t="shared" si="75"/>
        <v>0</v>
      </c>
      <c r="GZ10" s="294">
        <f t="shared" si="76"/>
        <v>0</v>
      </c>
      <c r="HA10" s="294">
        <f t="shared" si="77"/>
        <v>0</v>
      </c>
      <c r="HB10" s="31">
        <f t="shared" si="78"/>
        <v>0</v>
      </c>
    </row>
    <row r="11" spans="1:210" ht="24" x14ac:dyDescent="0.55000000000000004">
      <c r="A11" s="4">
        <v>3</v>
      </c>
      <c r="B11" s="26"/>
      <c r="C11" s="26"/>
      <c r="D11" s="26"/>
      <c r="E11" s="26"/>
      <c r="F11" s="26"/>
      <c r="G11" s="26"/>
      <c r="H11" s="4"/>
      <c r="I11" s="5"/>
      <c r="J11" s="7"/>
      <c r="K11" s="28"/>
      <c r="L11" s="28"/>
      <c r="M11" s="4"/>
      <c r="N11" s="5"/>
      <c r="O11" s="7"/>
      <c r="P11" s="193"/>
      <c r="Q11" s="193"/>
      <c r="R11" s="194"/>
      <c r="S11" s="31"/>
      <c r="T11" s="31"/>
      <c r="U11" s="4"/>
      <c r="V11" s="5"/>
      <c r="W11" s="7"/>
      <c r="X11" s="193"/>
      <c r="Y11" s="193"/>
      <c r="Z11" s="193"/>
      <c r="AA11" s="30"/>
      <c r="AB11" s="5"/>
      <c r="AC11" s="7"/>
      <c r="AD11" s="193"/>
      <c r="AE11" s="193"/>
      <c r="AF11" s="193"/>
      <c r="AG11" s="4"/>
      <c r="AH11" s="5"/>
      <c r="AI11" s="7"/>
      <c r="AJ11" s="31"/>
      <c r="AK11" s="28"/>
      <c r="AL11" s="4"/>
      <c r="AM11" s="31"/>
      <c r="AN11" s="7"/>
      <c r="AO11" s="231"/>
      <c r="AP11" s="231"/>
      <c r="AQ11" s="231"/>
      <c r="AR11" s="31"/>
      <c r="AS11" s="31"/>
      <c r="AT11" s="4"/>
      <c r="AU11" s="31"/>
      <c r="AV11" s="7"/>
      <c r="AW11" s="231"/>
      <c r="AX11" s="231"/>
      <c r="AY11" s="231"/>
      <c r="AZ11" s="30"/>
      <c r="BA11" s="31"/>
      <c r="BB11" s="7"/>
      <c r="BC11" s="231"/>
      <c r="BD11" s="231"/>
      <c r="BE11" s="231"/>
      <c r="BF11" s="310">
        <f t="shared" si="0"/>
        <v>0</v>
      </c>
      <c r="BG11" s="310">
        <f t="shared" si="1"/>
        <v>0</v>
      </c>
      <c r="BH11" s="311">
        <f t="shared" si="79"/>
        <v>0</v>
      </c>
      <c r="BI11" s="29"/>
      <c r="BJ11" s="29"/>
      <c r="BK11" s="4"/>
      <c r="BL11" s="5"/>
      <c r="BM11" s="7">
        <f t="shared" si="2"/>
        <v>0</v>
      </c>
      <c r="BN11" s="197">
        <f t="shared" si="3"/>
        <v>0</v>
      </c>
      <c r="BO11" s="31"/>
      <c r="BP11" s="31"/>
      <c r="BQ11" s="4"/>
      <c r="BR11" s="31"/>
      <c r="BS11" s="7"/>
      <c r="BT11" s="32"/>
      <c r="BU11" s="32"/>
      <c r="BV11" s="32"/>
      <c r="BW11" s="31"/>
      <c r="BX11" s="28"/>
      <c r="BY11" s="4"/>
      <c r="BZ11" s="31"/>
      <c r="CA11" s="7"/>
      <c r="CB11" s="32"/>
      <c r="CC11" s="32"/>
      <c r="CD11" s="32"/>
      <c r="CE11" s="29"/>
      <c r="CF11" s="61" t="str">
        <f t="shared" si="4"/>
        <v>0</v>
      </c>
      <c r="CG11" s="28"/>
      <c r="CH11" s="28"/>
      <c r="CI11" s="30"/>
      <c r="CJ11" s="31"/>
      <c r="CK11" s="7"/>
      <c r="CL11" s="32"/>
      <c r="CM11" s="32"/>
      <c r="CN11" s="32"/>
      <c r="CO11" s="266">
        <f t="shared" si="5"/>
        <v>0</v>
      </c>
      <c r="CP11" s="308">
        <f t="shared" si="6"/>
        <v>0</v>
      </c>
      <c r="CQ11" s="7"/>
      <c r="CR11" s="202"/>
      <c r="CS11" s="4"/>
      <c r="CT11" s="4"/>
      <c r="CU11" s="5"/>
      <c r="CV11" s="7">
        <f t="shared" si="80"/>
        <v>0</v>
      </c>
      <c r="CW11" s="7">
        <f t="shared" si="7"/>
        <v>0</v>
      </c>
      <c r="CX11" s="33">
        <f t="shared" si="81"/>
        <v>0</v>
      </c>
      <c r="CY11" s="34">
        <f t="shared" si="8"/>
        <v>0</v>
      </c>
      <c r="CZ11" s="34">
        <f t="shared" si="9"/>
        <v>0</v>
      </c>
      <c r="DA11" s="235">
        <f t="shared" si="82"/>
        <v>0</v>
      </c>
      <c r="DB11" s="235">
        <f t="shared" si="83"/>
        <v>0</v>
      </c>
      <c r="DC11" s="237">
        <f t="shared" si="84"/>
        <v>0</v>
      </c>
      <c r="DD11" s="237">
        <f t="shared" si="85"/>
        <v>0</v>
      </c>
      <c r="DE11" s="35">
        <f t="shared" si="10"/>
        <v>0</v>
      </c>
      <c r="DF11" s="35">
        <f t="shared" si="11"/>
        <v>0</v>
      </c>
      <c r="DG11" s="236">
        <f t="shared" si="12"/>
        <v>0</v>
      </c>
      <c r="DH11" s="236">
        <f t="shared" si="13"/>
        <v>0</v>
      </c>
      <c r="DI11" s="236">
        <f t="shared" si="86"/>
        <v>0</v>
      </c>
      <c r="DK11" s="6">
        <v>240240</v>
      </c>
      <c r="DL11" s="226">
        <v>240301</v>
      </c>
      <c r="DM11" s="226">
        <v>240391</v>
      </c>
      <c r="DN11" s="226">
        <v>240422</v>
      </c>
      <c r="DO11" s="226">
        <v>240575</v>
      </c>
      <c r="DP11" s="226">
        <v>240605</v>
      </c>
      <c r="DQ11" s="27" t="s">
        <v>46</v>
      </c>
      <c r="DR11" s="27" t="s">
        <v>47</v>
      </c>
      <c r="DS11" s="27" t="s">
        <v>48</v>
      </c>
      <c r="DT11" s="288">
        <f t="shared" si="14"/>
        <v>0</v>
      </c>
      <c r="DU11" s="272">
        <f t="shared" si="15"/>
        <v>0</v>
      </c>
      <c r="DV11" s="271">
        <f t="shared" si="87"/>
        <v>0</v>
      </c>
      <c r="DW11" s="271">
        <f t="shared" si="88"/>
        <v>0</v>
      </c>
      <c r="DX11" s="271">
        <f t="shared" si="89"/>
        <v>0</v>
      </c>
      <c r="DY11" s="307">
        <f t="shared" si="16"/>
        <v>0</v>
      </c>
      <c r="DZ11" s="307">
        <f t="shared" si="17"/>
        <v>0</v>
      </c>
      <c r="EA11" s="288">
        <f t="shared" si="18"/>
        <v>0</v>
      </c>
      <c r="EB11" s="272">
        <f t="shared" si="19"/>
        <v>0</v>
      </c>
      <c r="EC11" s="271">
        <f t="shared" si="20"/>
        <v>0</v>
      </c>
      <c r="ED11" s="272">
        <f t="shared" ref="ED11:ED18" si="96">IF(AND(EH11&gt;0,EA11&lt;EH11),0,IF(AND(DT11=0,EH11=0,EA11&gt;0),DATEDIF(DK11,EA11,DR11),IF(AND(DT11&gt;0,DT11&lt;EA11),DATEDIF(DT11,EA11,DR11),0)))</f>
        <v>0</v>
      </c>
      <c r="EE11" s="272">
        <f t="shared" ref="EE11:EE18" si="97">IF(AND(EH11&gt;0,EA11&lt;EH11),0,IF(AND(DT11=0,EH11=0,EA11&gt;0),DATEDIF(DK11,EA11,DS11),IF(AND(DT11&gt;0,DT11&lt;EA11),DATEDIF(DT11,EA11,DS11),0)))</f>
        <v>0</v>
      </c>
      <c r="EF11" s="307">
        <f t="shared" si="21"/>
        <v>0</v>
      </c>
      <c r="EG11" s="307">
        <f t="shared" si="22"/>
        <v>0</v>
      </c>
      <c r="EH11" s="288">
        <f t="shared" si="23"/>
        <v>0</v>
      </c>
      <c r="EI11" s="272">
        <f t="shared" si="24"/>
        <v>0</v>
      </c>
      <c r="EJ11" s="271">
        <f t="shared" si="25"/>
        <v>0</v>
      </c>
      <c r="EK11" s="271">
        <f t="shared" ref="EK11:EK18" si="98">IF(OR(EH11&lt;DK11,EH11&gt;DL11),0,IF(AND(DT11=0,EA11=0,EH11&gt;0),DATEDIF(DK11,EH11,DR11),IF(AND(DT11&gt;0,DT11&lt;EH11,EA11=0),DATEDIF(DT11,EH11,DR11),0)))</f>
        <v>0</v>
      </c>
      <c r="EL11" s="271">
        <f t="shared" ref="EL11:EL18" si="99">IF(OR(EH11&lt;DK11,EH11&gt;DL11),0,IF(AND(DT11=0,EA11=0,EH11&gt;0),DATEDIF(DK11,EH11,DS11),IF(AND(DT11&gt;0,DT11&lt;EH11,EA11=0),DATEDIF(DT11,EH11,DS11),0)))</f>
        <v>0</v>
      </c>
      <c r="EM11" s="290">
        <f t="shared" si="26"/>
        <v>0</v>
      </c>
      <c r="EN11" s="290">
        <f t="shared" si="27"/>
        <v>0</v>
      </c>
      <c r="EO11" s="271">
        <f t="shared" ref="EO11:EO18" si="100">IF(OR(EH11&lt;DK11,EH11&gt;DL11),0,IF(AND(EH11&gt;0,EA11=0),DATEDIF(EH11,DL11,DR11),IF(AND(EH11&gt;0,EA11&gt;0),DATEDIF(EH11,EA11,DR11),0)))</f>
        <v>0</v>
      </c>
      <c r="EP11" s="271">
        <f t="shared" ref="EP11:EP18" si="101">IF(OR(EH11&lt;DK11,EH11&gt;DL11),0,IF(AND(EH11&gt;0,EA11=0),DATEDIF(EH11,DL11,DS11),IF(AND(EH11&gt;0,EC11&gt;0),DATEDIF(EH11,EA11,DS11),0)))</f>
        <v>0</v>
      </c>
      <c r="EQ11" s="290">
        <f t="shared" si="28"/>
        <v>0</v>
      </c>
      <c r="ER11" s="290">
        <f t="shared" si="29"/>
        <v>0</v>
      </c>
      <c r="ES11" s="288">
        <f t="shared" si="30"/>
        <v>0</v>
      </c>
      <c r="ET11" s="272">
        <f t="shared" si="31"/>
        <v>0</v>
      </c>
      <c r="EU11" s="271">
        <f t="shared" si="90"/>
        <v>0</v>
      </c>
      <c r="EV11" s="271">
        <f t="shared" ref="EV11:EV18" si="102">IF(AND(ES11=0,DT11=0),0,IF(AND(EA11+EH11=0,ES11&gt;=DL11),DATEDIF(ES11,DN11,DR11),IF(AND(EA11+EH11=0,ES11&lt;DL11),DATEDIF(DL11,DN11,DR11),0)))</f>
        <v>0</v>
      </c>
      <c r="EW11" s="271">
        <f t="shared" ref="EW11:EW18" si="103">IF(OR(ES11&lt;DK11,ES11&gt;DN11),0,IF(AND(EA11+EH11=0,ES11&gt;=DL11),DATEDIF(ES11,DN11,DS11),IF(AND(EA11+EH11=0,ES11&lt;DL11),DATEDIF(DL11,DN11,DS11),0)))</f>
        <v>0</v>
      </c>
      <c r="EX11" s="290">
        <f t="shared" ref="EX11:EX18" si="104">IF(AND(AH11=0,AM11=0),0,IF(AND(AH11=0,AM11&gt;0),((AM11*EV11)+((AM11*EW11)/EU11)),IF(AND(EV11=0,EW11=0),0,(AH11*EV11)+((AH11*EW11)))))</f>
        <v>0</v>
      </c>
      <c r="EY11" s="290">
        <f t="shared" ref="EY11:EY18" si="105">IF(AND(AH11=0,AM11=0),0,IF(AND(AH11=0,AM11&gt;0),((AN11*EV11)+((AN11*EW11)/EU11)),IF(AND(AH11=0,AM11=0),0,(AI11*EV11)+((AI11*EW11)))))</f>
        <v>0</v>
      </c>
      <c r="EZ11" s="288">
        <f t="shared" si="32"/>
        <v>0</v>
      </c>
      <c r="FA11" s="272">
        <f t="shared" si="33"/>
        <v>0</v>
      </c>
      <c r="FB11" s="271">
        <f t="shared" si="91"/>
        <v>0</v>
      </c>
      <c r="FC11" s="272">
        <f t="shared" ref="FC11:FC18" si="106">IF(OR(EZ11&lt;DL11,EZ11&gt;DN11),0,IF(AND(AH11=0,ES11=0,FB11),0,IF(AH11&gt;0,DATEDIF(DL11,EZ11,DR11),IF(AND(AH11=0,ES11&gt;0,EZ11&gt;EA11),DATEDIF(EA11,EZ11,DR11)))))</f>
        <v>0</v>
      </c>
      <c r="FD11" s="272">
        <f t="shared" ref="FD11:FD18" si="107">IF(OR(EZ11&lt;DL11,EZ11&gt;DN11),0,IF(AND(AH11=0,ES11=0),0,IF(AH11&gt;0,DATEDIF(DL11,EZ11,DS11),IF(AND(AH11=0,ES11&gt;0,EZ11&gt;EA11),DATEDIF(EA11,EZ11,DS11)))))</f>
        <v>0</v>
      </c>
      <c r="FE11" s="290">
        <f t="shared" si="34"/>
        <v>0</v>
      </c>
      <c r="FF11" s="290">
        <f t="shared" si="35"/>
        <v>0</v>
      </c>
      <c r="FG11" s="288">
        <f t="shared" si="36"/>
        <v>0</v>
      </c>
      <c r="FH11" s="272">
        <f t="shared" si="37"/>
        <v>0</v>
      </c>
      <c r="FI11" s="271">
        <f t="shared" si="92"/>
        <v>0</v>
      </c>
      <c r="FJ11" s="293">
        <f t="shared" si="38"/>
        <v>0</v>
      </c>
      <c r="FK11" s="293">
        <f t="shared" si="39"/>
        <v>0</v>
      </c>
      <c r="FL11" s="290">
        <f t="shared" si="40"/>
        <v>0</v>
      </c>
      <c r="FM11" s="290">
        <f t="shared" si="41"/>
        <v>0</v>
      </c>
      <c r="FN11" s="293">
        <f t="shared" si="42"/>
        <v>0</v>
      </c>
      <c r="FO11" s="293">
        <f t="shared" ref="FO11:FO18" si="108">IF(AND(AH11&gt;0,FG11&gt;0,EZ11=0),DATEDIF(FG11,DN11,DS11),IF(AND(FG11&gt;0,EZ11&gt;0,FG11&lt;EZ11),DATEDIF(FG11,EZ11,DS11),IF(AND(AH11&gt;0,FG11&gt;0,ES11&gt;0),DATEDIF(FG11,DN11,DS11),0)))</f>
        <v>0</v>
      </c>
      <c r="FP11" s="290">
        <f t="shared" si="43"/>
        <v>0</v>
      </c>
      <c r="FQ11" s="290">
        <f t="shared" si="44"/>
        <v>0</v>
      </c>
      <c r="FR11" s="272">
        <f t="shared" si="45"/>
        <v>0</v>
      </c>
      <c r="FS11" s="294">
        <f t="shared" si="46"/>
        <v>0</v>
      </c>
      <c r="FT11" s="31">
        <f t="shared" si="47"/>
        <v>0</v>
      </c>
      <c r="FU11" s="292">
        <f t="shared" si="48"/>
        <v>0</v>
      </c>
      <c r="FV11" s="288">
        <f t="shared" si="49"/>
        <v>0</v>
      </c>
      <c r="FW11" s="272">
        <f t="shared" si="50"/>
        <v>0</v>
      </c>
      <c r="FX11" s="271">
        <f t="shared" si="93"/>
        <v>0</v>
      </c>
      <c r="FY11" s="272">
        <f t="shared" si="51"/>
        <v>0</v>
      </c>
      <c r="FZ11" s="272">
        <f t="shared" si="52"/>
        <v>0</v>
      </c>
      <c r="GA11" s="290">
        <f t="shared" si="53"/>
        <v>0</v>
      </c>
      <c r="GB11" s="290">
        <f t="shared" si="54"/>
        <v>0</v>
      </c>
      <c r="GC11" s="288">
        <f t="shared" si="55"/>
        <v>0</v>
      </c>
      <c r="GD11" s="272">
        <f t="shared" si="56"/>
        <v>0</v>
      </c>
      <c r="GE11" s="271">
        <f t="shared" si="94"/>
        <v>0</v>
      </c>
      <c r="GF11" s="272">
        <f t="shared" si="57"/>
        <v>0</v>
      </c>
      <c r="GG11" s="272">
        <f t="shared" si="58"/>
        <v>0</v>
      </c>
      <c r="GH11" s="290">
        <f t="shared" si="59"/>
        <v>0</v>
      </c>
      <c r="GI11" s="290">
        <f t="shared" si="60"/>
        <v>0</v>
      </c>
      <c r="GJ11" s="288">
        <f t="shared" si="61"/>
        <v>0</v>
      </c>
      <c r="GK11" s="272">
        <f t="shared" si="62"/>
        <v>0</v>
      </c>
      <c r="GL11" s="271">
        <f t="shared" si="95"/>
        <v>0</v>
      </c>
      <c r="GM11" s="271">
        <f t="shared" si="63"/>
        <v>0</v>
      </c>
      <c r="GN11" s="271">
        <f t="shared" si="64"/>
        <v>0</v>
      </c>
      <c r="GO11" s="290">
        <f t="shared" si="65"/>
        <v>0</v>
      </c>
      <c r="GP11" s="290">
        <f t="shared" si="66"/>
        <v>0</v>
      </c>
      <c r="GQ11" s="271">
        <f t="shared" si="67"/>
        <v>0</v>
      </c>
      <c r="GR11" s="271">
        <f t="shared" si="68"/>
        <v>0</v>
      </c>
      <c r="GS11" s="290">
        <f t="shared" si="69"/>
        <v>0</v>
      </c>
      <c r="GT11" s="290">
        <f t="shared" si="70"/>
        <v>0</v>
      </c>
      <c r="GU11" s="296">
        <f t="shared" si="71"/>
        <v>0</v>
      </c>
      <c r="GV11" s="291">
        <f t="shared" si="72"/>
        <v>0</v>
      </c>
      <c r="GW11" s="30">
        <f t="shared" si="73"/>
        <v>0</v>
      </c>
      <c r="GX11" s="31">
        <f t="shared" si="74"/>
        <v>0</v>
      </c>
      <c r="GY11" s="301">
        <f t="shared" si="75"/>
        <v>0</v>
      </c>
      <c r="GZ11" s="294">
        <f t="shared" si="76"/>
        <v>0</v>
      </c>
      <c r="HA11" s="294">
        <f t="shared" si="77"/>
        <v>0</v>
      </c>
      <c r="HB11" s="31">
        <f t="shared" si="78"/>
        <v>0</v>
      </c>
    </row>
    <row r="12" spans="1:210" ht="24" x14ac:dyDescent="0.55000000000000004">
      <c r="A12" s="4">
        <v>4</v>
      </c>
      <c r="B12" s="26"/>
      <c r="C12" s="26"/>
      <c r="D12" s="26"/>
      <c r="E12" s="26"/>
      <c r="F12" s="26"/>
      <c r="G12" s="26"/>
      <c r="H12" s="4"/>
      <c r="I12" s="5"/>
      <c r="J12" s="7"/>
      <c r="K12" s="28"/>
      <c r="L12" s="28"/>
      <c r="M12" s="4"/>
      <c r="N12" s="5"/>
      <c r="O12" s="7"/>
      <c r="P12" s="193"/>
      <c r="Q12" s="193"/>
      <c r="R12" s="194"/>
      <c r="S12" s="31"/>
      <c r="T12" s="31"/>
      <c r="U12" s="4"/>
      <c r="V12" s="5"/>
      <c r="W12" s="7"/>
      <c r="X12" s="193"/>
      <c r="Y12" s="193"/>
      <c r="Z12" s="193"/>
      <c r="AA12" s="30"/>
      <c r="AB12" s="5"/>
      <c r="AC12" s="7"/>
      <c r="AD12" s="193"/>
      <c r="AE12" s="193"/>
      <c r="AF12" s="193"/>
      <c r="AG12" s="4"/>
      <c r="AH12" s="5"/>
      <c r="AI12" s="7"/>
      <c r="AJ12" s="31"/>
      <c r="AK12" s="28"/>
      <c r="AL12" s="4"/>
      <c r="AM12" s="31"/>
      <c r="AN12" s="7"/>
      <c r="AO12" s="231"/>
      <c r="AP12" s="231"/>
      <c r="AQ12" s="231"/>
      <c r="AR12" s="31"/>
      <c r="AS12" s="31"/>
      <c r="AT12" s="4"/>
      <c r="AU12" s="31"/>
      <c r="AV12" s="7"/>
      <c r="AW12" s="231"/>
      <c r="AX12" s="231"/>
      <c r="AY12" s="231"/>
      <c r="AZ12" s="30"/>
      <c r="BA12" s="31"/>
      <c r="BB12" s="7"/>
      <c r="BC12" s="231"/>
      <c r="BD12" s="231"/>
      <c r="BE12" s="231"/>
      <c r="BF12" s="310">
        <f t="shared" si="0"/>
        <v>0</v>
      </c>
      <c r="BG12" s="310">
        <f t="shared" si="1"/>
        <v>0</v>
      </c>
      <c r="BH12" s="311">
        <f t="shared" si="79"/>
        <v>0</v>
      </c>
      <c r="BI12" s="29"/>
      <c r="BJ12" s="29"/>
      <c r="BK12" s="4"/>
      <c r="BL12" s="5"/>
      <c r="BM12" s="7">
        <f t="shared" ref="BM12:BM16" si="109">IF(OR(BI12=0,BL12=0),0,IF(AND(FG12&gt;0,FG12&gt;=DM12,FG12&lt;DN12),BL12-BA12,BL12-BG12))</f>
        <v>0</v>
      </c>
      <c r="BN12" s="197">
        <f t="shared" si="3"/>
        <v>0</v>
      </c>
      <c r="BO12" s="31"/>
      <c r="BP12" s="31"/>
      <c r="BQ12" s="4"/>
      <c r="BR12" s="31"/>
      <c r="BS12" s="7"/>
      <c r="BT12" s="32"/>
      <c r="BU12" s="32"/>
      <c r="BV12" s="32"/>
      <c r="BW12" s="31"/>
      <c r="BX12" s="28"/>
      <c r="BY12" s="4"/>
      <c r="BZ12" s="31"/>
      <c r="CA12" s="7"/>
      <c r="CB12" s="32"/>
      <c r="CC12" s="32"/>
      <c r="CD12" s="32"/>
      <c r="CE12" s="29"/>
      <c r="CF12" s="61"/>
      <c r="CG12" s="28"/>
      <c r="CH12" s="28"/>
      <c r="CI12" s="30"/>
      <c r="CJ12" s="31"/>
      <c r="CK12" s="7"/>
      <c r="CL12" s="32"/>
      <c r="CM12" s="32"/>
      <c r="CN12" s="32"/>
      <c r="CO12" s="266">
        <f t="shared" si="5"/>
        <v>0</v>
      </c>
      <c r="CP12" s="308">
        <f t="shared" si="6"/>
        <v>0</v>
      </c>
      <c r="CQ12" s="7"/>
      <c r="CR12" s="202"/>
      <c r="CS12" s="4"/>
      <c r="CT12" s="4"/>
      <c r="CU12" s="5"/>
      <c r="CV12" s="7">
        <f>IF(OR(CR12=0,CU12=0),0,IF(AND(GJ12&gt;0,GJ12&gt;DO12,GJ12&lt;DP12),CU12-CJ12,CU12-CP12))</f>
        <v>0</v>
      </c>
      <c r="CW12" s="7">
        <f t="shared" si="7"/>
        <v>0</v>
      </c>
      <c r="CX12" s="33">
        <f t="shared" si="81"/>
        <v>0</v>
      </c>
      <c r="CY12" s="34">
        <f t="shared" si="8"/>
        <v>0</v>
      </c>
      <c r="CZ12" s="34">
        <f t="shared" si="9"/>
        <v>0</v>
      </c>
      <c r="DA12" s="235">
        <f t="shared" si="82"/>
        <v>0</v>
      </c>
      <c r="DB12" s="235">
        <f t="shared" si="83"/>
        <v>0</v>
      </c>
      <c r="DC12" s="237">
        <f t="shared" si="84"/>
        <v>0</v>
      </c>
      <c r="DD12" s="237">
        <f t="shared" si="85"/>
        <v>0</v>
      </c>
      <c r="DE12" s="35">
        <f t="shared" si="10"/>
        <v>0</v>
      </c>
      <c r="DF12" s="35">
        <f t="shared" si="11"/>
        <v>0</v>
      </c>
      <c r="DG12" s="236">
        <f t="shared" si="12"/>
        <v>0</v>
      </c>
      <c r="DH12" s="236">
        <f t="shared" si="13"/>
        <v>0</v>
      </c>
      <c r="DI12" s="236">
        <f t="shared" si="86"/>
        <v>0</v>
      </c>
      <c r="DK12" s="6">
        <v>240240</v>
      </c>
      <c r="DL12" s="226">
        <v>240301</v>
      </c>
      <c r="DM12" s="226">
        <v>240391</v>
      </c>
      <c r="DN12" s="226">
        <v>240422</v>
      </c>
      <c r="DO12" s="226">
        <v>240575</v>
      </c>
      <c r="DP12" s="226">
        <v>240605</v>
      </c>
      <c r="DQ12" s="27" t="s">
        <v>46</v>
      </c>
      <c r="DR12" s="27" t="s">
        <v>47</v>
      </c>
      <c r="DS12" s="27" t="s">
        <v>48</v>
      </c>
      <c r="DT12" s="288">
        <f t="shared" si="14"/>
        <v>0</v>
      </c>
      <c r="DU12" s="272">
        <f t="shared" si="15"/>
        <v>0</v>
      </c>
      <c r="DV12" s="271">
        <f t="shared" si="87"/>
        <v>0</v>
      </c>
      <c r="DW12" s="271">
        <f t="shared" si="88"/>
        <v>0</v>
      </c>
      <c r="DX12" s="271">
        <f t="shared" si="89"/>
        <v>0</v>
      </c>
      <c r="DY12" s="307">
        <f t="shared" si="16"/>
        <v>0</v>
      </c>
      <c r="DZ12" s="307">
        <f t="shared" si="17"/>
        <v>0</v>
      </c>
      <c r="EA12" s="288">
        <f t="shared" si="18"/>
        <v>0</v>
      </c>
      <c r="EB12" s="272">
        <f t="shared" si="19"/>
        <v>0</v>
      </c>
      <c r="EC12" s="271">
        <f t="shared" si="20"/>
        <v>0</v>
      </c>
      <c r="ED12" s="272">
        <f t="shared" si="96"/>
        <v>0</v>
      </c>
      <c r="EE12" s="272">
        <f t="shared" si="97"/>
        <v>0</v>
      </c>
      <c r="EF12" s="307">
        <f t="shared" si="21"/>
        <v>0</v>
      </c>
      <c r="EG12" s="307">
        <f t="shared" si="22"/>
        <v>0</v>
      </c>
      <c r="EH12" s="288">
        <f t="shared" si="23"/>
        <v>0</v>
      </c>
      <c r="EI12" s="272">
        <f t="shared" si="24"/>
        <v>0</v>
      </c>
      <c r="EJ12" s="271">
        <f t="shared" si="25"/>
        <v>0</v>
      </c>
      <c r="EK12" s="271">
        <f t="shared" si="98"/>
        <v>0</v>
      </c>
      <c r="EL12" s="271">
        <f t="shared" si="99"/>
        <v>0</v>
      </c>
      <c r="EM12" s="290">
        <f t="shared" si="26"/>
        <v>0</v>
      </c>
      <c r="EN12" s="290">
        <f t="shared" si="27"/>
        <v>0</v>
      </c>
      <c r="EO12" s="271">
        <f t="shared" si="100"/>
        <v>0</v>
      </c>
      <c r="EP12" s="271">
        <f t="shared" si="101"/>
        <v>0</v>
      </c>
      <c r="EQ12" s="290">
        <f t="shared" si="28"/>
        <v>0</v>
      </c>
      <c r="ER12" s="290">
        <f t="shared" si="29"/>
        <v>0</v>
      </c>
      <c r="ES12" s="288">
        <f t="shared" si="30"/>
        <v>0</v>
      </c>
      <c r="ET12" s="272">
        <f t="shared" si="31"/>
        <v>0</v>
      </c>
      <c r="EU12" s="271">
        <f t="shared" si="90"/>
        <v>0</v>
      </c>
      <c r="EV12" s="271">
        <f t="shared" si="102"/>
        <v>0</v>
      </c>
      <c r="EW12" s="271">
        <f t="shared" si="103"/>
        <v>0</v>
      </c>
      <c r="EX12" s="290">
        <f t="shared" si="104"/>
        <v>0</v>
      </c>
      <c r="EY12" s="290">
        <f t="shared" si="105"/>
        <v>0</v>
      </c>
      <c r="EZ12" s="288">
        <f t="shared" si="32"/>
        <v>0</v>
      </c>
      <c r="FA12" s="272">
        <f t="shared" si="33"/>
        <v>0</v>
      </c>
      <c r="FB12" s="271">
        <f t="shared" si="91"/>
        <v>0</v>
      </c>
      <c r="FC12" s="272">
        <f t="shared" si="106"/>
        <v>0</v>
      </c>
      <c r="FD12" s="272">
        <f t="shared" si="107"/>
        <v>0</v>
      </c>
      <c r="FE12" s="290">
        <f t="shared" si="34"/>
        <v>0</v>
      </c>
      <c r="FF12" s="290">
        <f t="shared" si="35"/>
        <v>0</v>
      </c>
      <c r="FG12" s="288">
        <f t="shared" si="36"/>
        <v>0</v>
      </c>
      <c r="FH12" s="272">
        <f t="shared" si="37"/>
        <v>0</v>
      </c>
      <c r="FI12" s="271">
        <f t="shared" si="92"/>
        <v>0</v>
      </c>
      <c r="FJ12" s="293">
        <f t="shared" si="38"/>
        <v>0</v>
      </c>
      <c r="FK12" s="293">
        <f t="shared" si="39"/>
        <v>0</v>
      </c>
      <c r="FL12" s="290">
        <f t="shared" si="40"/>
        <v>0</v>
      </c>
      <c r="FM12" s="290">
        <f t="shared" si="41"/>
        <v>0</v>
      </c>
      <c r="FN12" s="293">
        <f t="shared" si="42"/>
        <v>0</v>
      </c>
      <c r="FO12" s="293">
        <f t="shared" si="108"/>
        <v>0</v>
      </c>
      <c r="FP12" s="290">
        <f t="shared" si="43"/>
        <v>0</v>
      </c>
      <c r="FQ12" s="290">
        <f t="shared" si="44"/>
        <v>0</v>
      </c>
      <c r="FR12" s="272">
        <f t="shared" si="45"/>
        <v>0</v>
      </c>
      <c r="FS12" s="294">
        <f t="shared" si="46"/>
        <v>0</v>
      </c>
      <c r="FT12" s="31">
        <f t="shared" si="47"/>
        <v>0</v>
      </c>
      <c r="FU12" s="292">
        <f t="shared" si="48"/>
        <v>0</v>
      </c>
      <c r="FV12" s="288">
        <f t="shared" si="49"/>
        <v>0</v>
      </c>
      <c r="FW12" s="272">
        <f t="shared" si="50"/>
        <v>0</v>
      </c>
      <c r="FX12" s="271">
        <f t="shared" si="93"/>
        <v>0</v>
      </c>
      <c r="FY12" s="272">
        <f t="shared" si="51"/>
        <v>0</v>
      </c>
      <c r="FZ12" s="272">
        <f t="shared" si="52"/>
        <v>0</v>
      </c>
      <c r="GA12" s="290">
        <f t="shared" si="53"/>
        <v>0</v>
      </c>
      <c r="GB12" s="290">
        <f t="shared" si="54"/>
        <v>0</v>
      </c>
      <c r="GC12" s="288">
        <f t="shared" si="55"/>
        <v>0</v>
      </c>
      <c r="GD12" s="272">
        <f t="shared" si="56"/>
        <v>0</v>
      </c>
      <c r="GE12" s="271">
        <f t="shared" si="94"/>
        <v>0</v>
      </c>
      <c r="GF12" s="272">
        <f t="shared" si="57"/>
        <v>0</v>
      </c>
      <c r="GG12" s="272">
        <f t="shared" si="58"/>
        <v>0</v>
      </c>
      <c r="GH12" s="290">
        <f t="shared" si="59"/>
        <v>0</v>
      </c>
      <c r="GI12" s="290">
        <f t="shared" si="60"/>
        <v>0</v>
      </c>
      <c r="GJ12" s="288">
        <f t="shared" si="61"/>
        <v>0</v>
      </c>
      <c r="GK12" s="272">
        <f t="shared" si="62"/>
        <v>0</v>
      </c>
      <c r="GL12" s="271">
        <f t="shared" si="95"/>
        <v>0</v>
      </c>
      <c r="GM12" s="271">
        <f t="shared" si="63"/>
        <v>0</v>
      </c>
      <c r="GN12" s="271">
        <f t="shared" si="64"/>
        <v>0</v>
      </c>
      <c r="GO12" s="290">
        <f t="shared" si="65"/>
        <v>0</v>
      </c>
      <c r="GP12" s="290">
        <f t="shared" si="66"/>
        <v>0</v>
      </c>
      <c r="GQ12" s="271">
        <f t="shared" si="67"/>
        <v>0</v>
      </c>
      <c r="GR12" s="271">
        <f t="shared" si="68"/>
        <v>0</v>
      </c>
      <c r="GS12" s="290">
        <f t="shared" si="69"/>
        <v>0</v>
      </c>
      <c r="GT12" s="290">
        <f t="shared" si="70"/>
        <v>0</v>
      </c>
      <c r="GU12" s="296">
        <f t="shared" si="71"/>
        <v>0</v>
      </c>
      <c r="GV12" s="291">
        <f t="shared" si="72"/>
        <v>0</v>
      </c>
      <c r="GW12" s="30">
        <f t="shared" si="73"/>
        <v>0</v>
      </c>
      <c r="GX12" s="31">
        <f t="shared" si="74"/>
        <v>0</v>
      </c>
      <c r="GY12" s="301">
        <f t="shared" si="75"/>
        <v>0</v>
      </c>
      <c r="GZ12" s="294">
        <f t="shared" si="76"/>
        <v>0</v>
      </c>
      <c r="HA12" s="294">
        <f t="shared" si="77"/>
        <v>0</v>
      </c>
      <c r="HB12" s="31">
        <f t="shared" si="78"/>
        <v>0</v>
      </c>
    </row>
    <row r="13" spans="1:210" ht="24" x14ac:dyDescent="0.55000000000000004">
      <c r="A13" s="4">
        <v>5</v>
      </c>
      <c r="B13" s="26"/>
      <c r="C13" s="26"/>
      <c r="D13" s="26"/>
      <c r="E13" s="26"/>
      <c r="F13" s="26"/>
      <c r="G13" s="26"/>
      <c r="H13" s="4"/>
      <c r="I13" s="5"/>
      <c r="J13" s="7"/>
      <c r="K13" s="28"/>
      <c r="L13" s="28"/>
      <c r="M13" s="4"/>
      <c r="N13" s="5"/>
      <c r="O13" s="7"/>
      <c r="P13" s="193"/>
      <c r="Q13" s="193"/>
      <c r="R13" s="194"/>
      <c r="S13" s="31"/>
      <c r="T13" s="31"/>
      <c r="U13" s="4"/>
      <c r="V13" s="5"/>
      <c r="W13" s="7"/>
      <c r="X13" s="193"/>
      <c r="Y13" s="193"/>
      <c r="Z13" s="193"/>
      <c r="AA13" s="30"/>
      <c r="AB13" s="5"/>
      <c r="AC13" s="7"/>
      <c r="AD13" s="193"/>
      <c r="AE13" s="193"/>
      <c r="AF13" s="193"/>
      <c r="AG13" s="4"/>
      <c r="AH13" s="5"/>
      <c r="AI13" s="7"/>
      <c r="AJ13" s="31"/>
      <c r="AK13" s="28"/>
      <c r="AL13" s="4"/>
      <c r="AM13" s="31"/>
      <c r="AN13" s="7"/>
      <c r="AO13" s="231"/>
      <c r="AP13" s="231"/>
      <c r="AQ13" s="231"/>
      <c r="AR13" s="31"/>
      <c r="AS13" s="31"/>
      <c r="AT13" s="4"/>
      <c r="AU13" s="31"/>
      <c r="AV13" s="7"/>
      <c r="AW13" s="231"/>
      <c r="AX13" s="231"/>
      <c r="AY13" s="231"/>
      <c r="AZ13" s="30"/>
      <c r="BA13" s="31"/>
      <c r="BB13" s="7"/>
      <c r="BC13" s="231"/>
      <c r="BD13" s="231"/>
      <c r="BE13" s="231"/>
      <c r="BF13" s="310">
        <f t="shared" si="0"/>
        <v>0</v>
      </c>
      <c r="BG13" s="310">
        <f t="shared" si="1"/>
        <v>0</v>
      </c>
      <c r="BH13" s="311">
        <f t="shared" si="79"/>
        <v>0</v>
      </c>
      <c r="BI13" s="29"/>
      <c r="BJ13" s="29"/>
      <c r="BK13" s="4"/>
      <c r="BL13" s="5"/>
      <c r="BM13" s="7">
        <f t="shared" si="109"/>
        <v>0</v>
      </c>
      <c r="BN13" s="197">
        <f t="shared" si="3"/>
        <v>0</v>
      </c>
      <c r="BO13" s="31"/>
      <c r="BP13" s="31"/>
      <c r="BQ13" s="4"/>
      <c r="BR13" s="31"/>
      <c r="BS13" s="7"/>
      <c r="BT13" s="32"/>
      <c r="BU13" s="32"/>
      <c r="BV13" s="32"/>
      <c r="BW13" s="31"/>
      <c r="BX13" s="28"/>
      <c r="BY13" s="4"/>
      <c r="BZ13" s="31"/>
      <c r="CA13" s="7"/>
      <c r="CB13" s="32"/>
      <c r="CC13" s="32"/>
      <c r="CD13" s="32"/>
      <c r="CE13" s="29"/>
      <c r="CF13" s="61"/>
      <c r="CG13" s="28"/>
      <c r="CH13" s="28"/>
      <c r="CI13" s="30"/>
      <c r="CJ13" s="31"/>
      <c r="CK13" s="7"/>
      <c r="CL13" s="32"/>
      <c r="CM13" s="32"/>
      <c r="CN13" s="32"/>
      <c r="CO13" s="266">
        <f t="shared" si="5"/>
        <v>0</v>
      </c>
      <c r="CP13" s="308">
        <f t="shared" si="6"/>
        <v>0</v>
      </c>
      <c r="CQ13" s="7"/>
      <c r="CR13" s="202"/>
      <c r="CS13" s="4"/>
      <c r="CT13" s="4"/>
      <c r="CU13" s="5"/>
      <c r="CV13" s="7">
        <f t="shared" ref="CV13:CV18" si="110">IF(OR(CR13=0,CU13=0),0,IF(AND(GJ13&gt;0,GJ13&gt;DO13,GJ13&lt;DP13),CU13-CJ13,CU13-CP13))</f>
        <v>0</v>
      </c>
      <c r="CW13" s="7">
        <f t="shared" si="7"/>
        <v>0</v>
      </c>
      <c r="CX13" s="33">
        <f t="shared" si="81"/>
        <v>0</v>
      </c>
      <c r="CY13" s="34">
        <f t="shared" si="8"/>
        <v>0</v>
      </c>
      <c r="CZ13" s="34">
        <f t="shared" si="9"/>
        <v>0</v>
      </c>
      <c r="DA13" s="235">
        <f t="shared" si="82"/>
        <v>0</v>
      </c>
      <c r="DB13" s="235">
        <f t="shared" si="83"/>
        <v>0</v>
      </c>
      <c r="DC13" s="237">
        <f t="shared" si="84"/>
        <v>0</v>
      </c>
      <c r="DD13" s="237">
        <f t="shared" si="85"/>
        <v>0</v>
      </c>
      <c r="DE13" s="35">
        <f t="shared" si="10"/>
        <v>0</v>
      </c>
      <c r="DF13" s="35">
        <f t="shared" si="11"/>
        <v>0</v>
      </c>
      <c r="DG13" s="236">
        <f t="shared" si="12"/>
        <v>0</v>
      </c>
      <c r="DH13" s="236">
        <f t="shared" si="13"/>
        <v>0</v>
      </c>
      <c r="DI13" s="236">
        <f t="shared" si="86"/>
        <v>0</v>
      </c>
      <c r="DK13" s="6">
        <v>240240</v>
      </c>
      <c r="DL13" s="226">
        <v>240301</v>
      </c>
      <c r="DM13" s="226">
        <v>240391</v>
      </c>
      <c r="DN13" s="226">
        <v>240422</v>
      </c>
      <c r="DO13" s="226">
        <v>240575</v>
      </c>
      <c r="DP13" s="226">
        <v>240605</v>
      </c>
      <c r="DQ13" s="27" t="s">
        <v>46</v>
      </c>
      <c r="DR13" s="27" t="s">
        <v>47</v>
      </c>
      <c r="DS13" s="27" t="s">
        <v>48</v>
      </c>
      <c r="DT13" s="288">
        <f t="shared" si="14"/>
        <v>0</v>
      </c>
      <c r="DU13" s="272">
        <f t="shared" si="15"/>
        <v>0</v>
      </c>
      <c r="DV13" s="271">
        <f t="shared" si="87"/>
        <v>0</v>
      </c>
      <c r="DW13" s="271">
        <f t="shared" si="88"/>
        <v>0</v>
      </c>
      <c r="DX13" s="271">
        <f t="shared" si="89"/>
        <v>0</v>
      </c>
      <c r="DY13" s="307">
        <f t="shared" si="16"/>
        <v>0</v>
      </c>
      <c r="DZ13" s="307">
        <f t="shared" si="17"/>
        <v>0</v>
      </c>
      <c r="EA13" s="288">
        <f t="shared" si="18"/>
        <v>0</v>
      </c>
      <c r="EB13" s="272">
        <f t="shared" si="19"/>
        <v>0</v>
      </c>
      <c r="EC13" s="271">
        <f t="shared" si="20"/>
        <v>0</v>
      </c>
      <c r="ED13" s="272">
        <f t="shared" si="96"/>
        <v>0</v>
      </c>
      <c r="EE13" s="272">
        <f t="shared" si="97"/>
        <v>0</v>
      </c>
      <c r="EF13" s="307">
        <f t="shared" si="21"/>
        <v>0</v>
      </c>
      <c r="EG13" s="307">
        <f t="shared" si="22"/>
        <v>0</v>
      </c>
      <c r="EH13" s="288">
        <f t="shared" si="23"/>
        <v>0</v>
      </c>
      <c r="EI13" s="272">
        <f t="shared" si="24"/>
        <v>0</v>
      </c>
      <c r="EJ13" s="271">
        <f t="shared" si="25"/>
        <v>0</v>
      </c>
      <c r="EK13" s="271">
        <f t="shared" si="98"/>
        <v>0</v>
      </c>
      <c r="EL13" s="271">
        <f t="shared" si="99"/>
        <v>0</v>
      </c>
      <c r="EM13" s="290">
        <f t="shared" si="26"/>
        <v>0</v>
      </c>
      <c r="EN13" s="290">
        <f t="shared" si="27"/>
        <v>0</v>
      </c>
      <c r="EO13" s="271">
        <f t="shared" si="100"/>
        <v>0</v>
      </c>
      <c r="EP13" s="271">
        <f t="shared" si="101"/>
        <v>0</v>
      </c>
      <c r="EQ13" s="290">
        <f t="shared" si="28"/>
        <v>0</v>
      </c>
      <c r="ER13" s="290">
        <f t="shared" si="29"/>
        <v>0</v>
      </c>
      <c r="ES13" s="288">
        <f t="shared" si="30"/>
        <v>0</v>
      </c>
      <c r="ET13" s="272">
        <f t="shared" si="31"/>
        <v>0</v>
      </c>
      <c r="EU13" s="271">
        <f t="shared" si="90"/>
        <v>0</v>
      </c>
      <c r="EV13" s="271">
        <f t="shared" si="102"/>
        <v>0</v>
      </c>
      <c r="EW13" s="271">
        <f t="shared" si="103"/>
        <v>0</v>
      </c>
      <c r="EX13" s="290">
        <f t="shared" si="104"/>
        <v>0</v>
      </c>
      <c r="EY13" s="290">
        <f t="shared" si="105"/>
        <v>0</v>
      </c>
      <c r="EZ13" s="288">
        <f t="shared" si="32"/>
        <v>0</v>
      </c>
      <c r="FA13" s="272">
        <f t="shared" si="33"/>
        <v>0</v>
      </c>
      <c r="FB13" s="271">
        <f t="shared" si="91"/>
        <v>0</v>
      </c>
      <c r="FC13" s="272">
        <f t="shared" si="106"/>
        <v>0</v>
      </c>
      <c r="FD13" s="272">
        <f t="shared" si="107"/>
        <v>0</v>
      </c>
      <c r="FE13" s="290">
        <f t="shared" si="34"/>
        <v>0</v>
      </c>
      <c r="FF13" s="290">
        <f t="shared" si="35"/>
        <v>0</v>
      </c>
      <c r="FG13" s="288">
        <f t="shared" si="36"/>
        <v>0</v>
      </c>
      <c r="FH13" s="272">
        <f t="shared" si="37"/>
        <v>0</v>
      </c>
      <c r="FI13" s="271">
        <f t="shared" si="92"/>
        <v>0</v>
      </c>
      <c r="FJ13" s="293">
        <f t="shared" si="38"/>
        <v>0</v>
      </c>
      <c r="FK13" s="293">
        <f t="shared" si="39"/>
        <v>0</v>
      </c>
      <c r="FL13" s="290">
        <f t="shared" si="40"/>
        <v>0</v>
      </c>
      <c r="FM13" s="290">
        <f t="shared" si="41"/>
        <v>0</v>
      </c>
      <c r="FN13" s="293">
        <f t="shared" si="42"/>
        <v>0</v>
      </c>
      <c r="FO13" s="293">
        <f t="shared" si="108"/>
        <v>0</v>
      </c>
      <c r="FP13" s="290">
        <f t="shared" si="43"/>
        <v>0</v>
      </c>
      <c r="FQ13" s="290">
        <f t="shared" si="44"/>
        <v>0</v>
      </c>
      <c r="FR13" s="272">
        <f t="shared" si="45"/>
        <v>0</v>
      </c>
      <c r="FS13" s="294">
        <f t="shared" si="46"/>
        <v>0</v>
      </c>
      <c r="FT13" s="31">
        <f t="shared" si="47"/>
        <v>0</v>
      </c>
      <c r="FU13" s="292">
        <f t="shared" si="48"/>
        <v>0</v>
      </c>
      <c r="FV13" s="288">
        <f t="shared" si="49"/>
        <v>0</v>
      </c>
      <c r="FW13" s="272">
        <f t="shared" si="50"/>
        <v>0</v>
      </c>
      <c r="FX13" s="271">
        <f t="shared" si="93"/>
        <v>0</v>
      </c>
      <c r="FY13" s="272">
        <f t="shared" si="51"/>
        <v>0</v>
      </c>
      <c r="FZ13" s="272">
        <f t="shared" si="52"/>
        <v>0</v>
      </c>
      <c r="GA13" s="290">
        <f t="shared" si="53"/>
        <v>0</v>
      </c>
      <c r="GB13" s="290">
        <f t="shared" si="54"/>
        <v>0</v>
      </c>
      <c r="GC13" s="288">
        <f t="shared" si="55"/>
        <v>0</v>
      </c>
      <c r="GD13" s="272">
        <f t="shared" si="56"/>
        <v>0</v>
      </c>
      <c r="GE13" s="271">
        <f t="shared" si="94"/>
        <v>0</v>
      </c>
      <c r="GF13" s="272">
        <f t="shared" si="57"/>
        <v>0</v>
      </c>
      <c r="GG13" s="272">
        <f t="shared" si="58"/>
        <v>0</v>
      </c>
      <c r="GH13" s="290">
        <f t="shared" si="59"/>
        <v>0</v>
      </c>
      <c r="GI13" s="290">
        <f t="shared" si="60"/>
        <v>0</v>
      </c>
      <c r="GJ13" s="288">
        <f t="shared" si="61"/>
        <v>0</v>
      </c>
      <c r="GK13" s="272">
        <f t="shared" si="62"/>
        <v>0</v>
      </c>
      <c r="GL13" s="271">
        <f t="shared" si="95"/>
        <v>0</v>
      </c>
      <c r="GM13" s="271">
        <f t="shared" si="63"/>
        <v>0</v>
      </c>
      <c r="GN13" s="271">
        <f t="shared" si="64"/>
        <v>0</v>
      </c>
      <c r="GO13" s="290">
        <f t="shared" si="65"/>
        <v>0</v>
      </c>
      <c r="GP13" s="290">
        <f t="shared" si="66"/>
        <v>0</v>
      </c>
      <c r="GQ13" s="271">
        <f t="shared" si="67"/>
        <v>0</v>
      </c>
      <c r="GR13" s="271">
        <f t="shared" si="68"/>
        <v>0</v>
      </c>
      <c r="GS13" s="290">
        <f t="shared" si="69"/>
        <v>0</v>
      </c>
      <c r="GT13" s="290">
        <f t="shared" si="70"/>
        <v>0</v>
      </c>
      <c r="GU13" s="296">
        <f t="shared" si="71"/>
        <v>0</v>
      </c>
      <c r="GV13" s="291">
        <f t="shared" si="72"/>
        <v>0</v>
      </c>
      <c r="GW13" s="30">
        <f t="shared" si="73"/>
        <v>0</v>
      </c>
      <c r="GX13" s="31">
        <f t="shared" si="74"/>
        <v>0</v>
      </c>
      <c r="GY13" s="301">
        <f t="shared" si="75"/>
        <v>0</v>
      </c>
      <c r="GZ13" s="294">
        <f t="shared" si="76"/>
        <v>0</v>
      </c>
      <c r="HA13" s="294">
        <f t="shared" si="77"/>
        <v>0</v>
      </c>
      <c r="HB13" s="31">
        <f t="shared" si="78"/>
        <v>0</v>
      </c>
    </row>
    <row r="14" spans="1:210" ht="24" x14ac:dyDescent="0.55000000000000004">
      <c r="A14" s="4">
        <v>6</v>
      </c>
      <c r="B14" s="26"/>
      <c r="C14" s="26"/>
      <c r="D14" s="26"/>
      <c r="E14" s="26"/>
      <c r="F14" s="26"/>
      <c r="G14" s="26"/>
      <c r="H14" s="4"/>
      <c r="I14" s="5"/>
      <c r="J14" s="7"/>
      <c r="K14" s="28"/>
      <c r="L14" s="28"/>
      <c r="M14" s="4"/>
      <c r="N14" s="5"/>
      <c r="O14" s="7"/>
      <c r="P14" s="193"/>
      <c r="Q14" s="193"/>
      <c r="R14" s="194"/>
      <c r="S14" s="31"/>
      <c r="T14" s="31"/>
      <c r="U14" s="4"/>
      <c r="V14" s="5"/>
      <c r="W14" s="7"/>
      <c r="X14" s="193"/>
      <c r="Y14" s="193"/>
      <c r="Z14" s="193"/>
      <c r="AA14" s="30"/>
      <c r="AB14" s="5"/>
      <c r="AC14" s="7"/>
      <c r="AD14" s="193"/>
      <c r="AE14" s="193"/>
      <c r="AF14" s="193"/>
      <c r="AG14" s="4"/>
      <c r="AH14" s="5"/>
      <c r="AI14" s="7"/>
      <c r="AJ14" s="31"/>
      <c r="AK14" s="28"/>
      <c r="AL14" s="4"/>
      <c r="AM14" s="31"/>
      <c r="AN14" s="7"/>
      <c r="AO14" s="231"/>
      <c r="AP14" s="231"/>
      <c r="AQ14" s="231"/>
      <c r="AR14" s="31"/>
      <c r="AS14" s="31"/>
      <c r="AT14" s="4"/>
      <c r="AU14" s="31"/>
      <c r="AV14" s="7"/>
      <c r="AW14" s="231"/>
      <c r="AX14" s="231"/>
      <c r="AY14" s="231"/>
      <c r="AZ14" s="30"/>
      <c r="BA14" s="31"/>
      <c r="BB14" s="7"/>
      <c r="BC14" s="231"/>
      <c r="BD14" s="231"/>
      <c r="BE14" s="231"/>
      <c r="BF14" s="310">
        <f>IF(AND(AH14&gt;0,ES14=0,EZ14=0,FG14=0),AG14,IF(AND(AH14&gt;0,FG14&gt;0,FG14&lt;=DM14),AZ14,IF(AND(AH14&gt;0,FG14&gt;0,FG14&gt;DM14),AG14,IF(AND(AH14=0,ES14&gt;0,FG14=0),AL14,IF(AND(AH14=0,ES14&gt;0,FG14&gt;0),AZ14,0)))))</f>
        <v>0</v>
      </c>
      <c r="BG14" s="310">
        <f t="shared" si="1"/>
        <v>0</v>
      </c>
      <c r="BH14" s="311">
        <f t="shared" si="79"/>
        <v>0</v>
      </c>
      <c r="BI14" s="29"/>
      <c r="BJ14" s="29"/>
      <c r="BK14" s="4"/>
      <c r="BL14" s="5"/>
      <c r="BM14" s="7">
        <f t="shared" si="109"/>
        <v>0</v>
      </c>
      <c r="BN14" s="197">
        <f t="shared" si="3"/>
        <v>0</v>
      </c>
      <c r="BO14" s="31"/>
      <c r="BP14" s="31"/>
      <c r="BQ14" s="4"/>
      <c r="BR14" s="31"/>
      <c r="BS14" s="7"/>
      <c r="BT14" s="32"/>
      <c r="BU14" s="32"/>
      <c r="BV14" s="32"/>
      <c r="BW14" s="31"/>
      <c r="BX14" s="28"/>
      <c r="BY14" s="4"/>
      <c r="BZ14" s="31"/>
      <c r="CA14" s="7"/>
      <c r="CB14" s="32"/>
      <c r="CC14" s="32"/>
      <c r="CD14" s="32"/>
      <c r="CE14" s="29"/>
      <c r="CF14" s="61"/>
      <c r="CG14" s="28"/>
      <c r="CH14" s="28"/>
      <c r="CI14" s="30"/>
      <c r="CJ14" s="31"/>
      <c r="CK14" s="7"/>
      <c r="CL14" s="32"/>
      <c r="CM14" s="32"/>
      <c r="CN14" s="32"/>
      <c r="CO14" s="266">
        <f>IF(AND(BL14&gt;0,FV14=0,GJ14=0),BK14,IF(AND(BL14&gt;0,FV14=0,GJ14&gt;DO14),BK14,IF(AND(BL14&gt;0,FV14=0,FG14&gt;0,FG14&lt;=DO14),CI14,IF(AND(BL14=0,GE14&gt;0,GE14&lt;=DO14),BY14,IF(AND(BL14=0,GE14&gt;0,GE14&gt;DO14),0,0)))))</f>
        <v>0</v>
      </c>
      <c r="CP14" s="308">
        <f>IF(AND(BL14&gt;0,FV14=0,GJ14=0),BL14,IF(AND(BL14&gt;0,FV14=0,GJ14&gt;DO14),BL14,IF(AND(BL14&gt;0,FV14=0,FG14&gt;0,FG14&lt;=DO14),CJ14,IF(AND(BL14=0,GE14&gt;0,GE14&lt;=DO14),BZ14,IF(AND(BL14=0,GE14&gt;0,GE14&gt;DO14),0,0)))))</f>
        <v>0</v>
      </c>
      <c r="CQ14" s="7"/>
      <c r="CR14" s="202"/>
      <c r="CS14" s="4"/>
      <c r="CT14" s="4"/>
      <c r="CU14" s="5"/>
      <c r="CV14" s="7">
        <f t="shared" si="110"/>
        <v>0</v>
      </c>
      <c r="CW14" s="7">
        <f t="shared" si="7"/>
        <v>0</v>
      </c>
      <c r="CX14" s="33">
        <f t="shared" si="81"/>
        <v>0</v>
      </c>
      <c r="CY14" s="34">
        <f t="shared" si="8"/>
        <v>0</v>
      </c>
      <c r="CZ14" s="34">
        <f t="shared" si="9"/>
        <v>0</v>
      </c>
      <c r="DA14" s="235">
        <f t="shared" si="82"/>
        <v>0</v>
      </c>
      <c r="DB14" s="235">
        <f t="shared" si="83"/>
        <v>0</v>
      </c>
      <c r="DC14" s="237">
        <f t="shared" si="84"/>
        <v>0</v>
      </c>
      <c r="DD14" s="237">
        <f t="shared" si="85"/>
        <v>0</v>
      </c>
      <c r="DE14" s="35">
        <f t="shared" si="10"/>
        <v>0</v>
      </c>
      <c r="DF14" s="35">
        <f t="shared" si="11"/>
        <v>0</v>
      </c>
      <c r="DG14" s="236">
        <f t="shared" si="12"/>
        <v>0</v>
      </c>
      <c r="DH14" s="236">
        <f t="shared" si="13"/>
        <v>0</v>
      </c>
      <c r="DI14" s="236">
        <f t="shared" si="86"/>
        <v>0</v>
      </c>
      <c r="DK14" s="6">
        <v>240240</v>
      </c>
      <c r="DL14" s="226">
        <v>240301</v>
      </c>
      <c r="DM14" s="226">
        <v>240391</v>
      </c>
      <c r="DN14" s="226">
        <v>240422</v>
      </c>
      <c r="DO14" s="226">
        <v>240575</v>
      </c>
      <c r="DP14" s="226">
        <v>240605</v>
      </c>
      <c r="DQ14" s="27" t="s">
        <v>46</v>
      </c>
      <c r="DR14" s="27" t="s">
        <v>47</v>
      </c>
      <c r="DS14" s="27" t="s">
        <v>48</v>
      </c>
      <c r="DT14" s="288">
        <f t="shared" si="14"/>
        <v>0</v>
      </c>
      <c r="DU14" s="272">
        <f t="shared" si="15"/>
        <v>0</v>
      </c>
      <c r="DV14" s="271">
        <f t="shared" si="87"/>
        <v>0</v>
      </c>
      <c r="DW14" s="271">
        <f t="shared" si="88"/>
        <v>0</v>
      </c>
      <c r="DX14" s="271">
        <f t="shared" si="89"/>
        <v>0</v>
      </c>
      <c r="DY14" s="307">
        <f t="shared" si="16"/>
        <v>0</v>
      </c>
      <c r="DZ14" s="307">
        <f t="shared" si="17"/>
        <v>0</v>
      </c>
      <c r="EA14" s="288">
        <f t="shared" si="18"/>
        <v>0</v>
      </c>
      <c r="EB14" s="272">
        <f t="shared" si="19"/>
        <v>0</v>
      </c>
      <c r="EC14" s="271">
        <f t="shared" si="20"/>
        <v>0</v>
      </c>
      <c r="ED14" s="272">
        <f t="shared" si="96"/>
        <v>0</v>
      </c>
      <c r="EE14" s="272">
        <f t="shared" si="97"/>
        <v>0</v>
      </c>
      <c r="EF14" s="307">
        <f t="shared" si="21"/>
        <v>0</v>
      </c>
      <c r="EG14" s="307">
        <f t="shared" si="22"/>
        <v>0</v>
      </c>
      <c r="EH14" s="288">
        <f t="shared" si="23"/>
        <v>0</v>
      </c>
      <c r="EI14" s="272">
        <f t="shared" si="24"/>
        <v>0</v>
      </c>
      <c r="EJ14" s="271">
        <f t="shared" si="25"/>
        <v>0</v>
      </c>
      <c r="EK14" s="271">
        <f t="shared" si="98"/>
        <v>0</v>
      </c>
      <c r="EL14" s="271">
        <f t="shared" si="99"/>
        <v>0</v>
      </c>
      <c r="EM14" s="290">
        <f t="shared" si="26"/>
        <v>0</v>
      </c>
      <c r="EN14" s="290">
        <f t="shared" si="27"/>
        <v>0</v>
      </c>
      <c r="EO14" s="271">
        <f t="shared" si="100"/>
        <v>0</v>
      </c>
      <c r="EP14" s="271">
        <f t="shared" si="101"/>
        <v>0</v>
      </c>
      <c r="EQ14" s="290">
        <f t="shared" si="28"/>
        <v>0</v>
      </c>
      <c r="ER14" s="290">
        <f t="shared" si="29"/>
        <v>0</v>
      </c>
      <c r="ES14" s="288">
        <f t="shared" si="30"/>
        <v>0</v>
      </c>
      <c r="ET14" s="272">
        <f t="shared" si="31"/>
        <v>0</v>
      </c>
      <c r="EU14" s="271">
        <f t="shared" si="90"/>
        <v>0</v>
      </c>
      <c r="EV14" s="271">
        <f t="shared" si="102"/>
        <v>0</v>
      </c>
      <c r="EW14" s="271">
        <f t="shared" si="103"/>
        <v>0</v>
      </c>
      <c r="EX14" s="290">
        <f t="shared" si="104"/>
        <v>0</v>
      </c>
      <c r="EY14" s="290">
        <f t="shared" si="105"/>
        <v>0</v>
      </c>
      <c r="EZ14" s="288">
        <f t="shared" si="32"/>
        <v>0</v>
      </c>
      <c r="FA14" s="272">
        <f t="shared" si="33"/>
        <v>0</v>
      </c>
      <c r="FB14" s="271">
        <f t="shared" si="91"/>
        <v>0</v>
      </c>
      <c r="FC14" s="272">
        <f t="shared" si="106"/>
        <v>0</v>
      </c>
      <c r="FD14" s="272">
        <f t="shared" si="107"/>
        <v>0</v>
      </c>
      <c r="FE14" s="290">
        <f t="shared" si="34"/>
        <v>0</v>
      </c>
      <c r="FF14" s="290">
        <f t="shared" si="35"/>
        <v>0</v>
      </c>
      <c r="FG14" s="288">
        <f t="shared" si="36"/>
        <v>0</v>
      </c>
      <c r="FH14" s="272">
        <f t="shared" si="37"/>
        <v>0</v>
      </c>
      <c r="FI14" s="271">
        <f t="shared" si="92"/>
        <v>0</v>
      </c>
      <c r="FJ14" s="293">
        <f t="shared" si="38"/>
        <v>0</v>
      </c>
      <c r="FK14" s="293">
        <f t="shared" si="39"/>
        <v>0</v>
      </c>
      <c r="FL14" s="290">
        <f t="shared" si="40"/>
        <v>0</v>
      </c>
      <c r="FM14" s="290">
        <f t="shared" si="41"/>
        <v>0</v>
      </c>
      <c r="FN14" s="293">
        <f t="shared" si="42"/>
        <v>0</v>
      </c>
      <c r="FO14" s="293">
        <f t="shared" si="108"/>
        <v>0</v>
      </c>
      <c r="FP14" s="290">
        <f t="shared" si="43"/>
        <v>0</v>
      </c>
      <c r="FQ14" s="290">
        <f t="shared" si="44"/>
        <v>0</v>
      </c>
      <c r="FR14" s="272">
        <f t="shared" si="45"/>
        <v>0</v>
      </c>
      <c r="FS14" s="294">
        <f t="shared" si="46"/>
        <v>0</v>
      </c>
      <c r="FT14" s="31">
        <f t="shared" si="47"/>
        <v>0</v>
      </c>
      <c r="FU14" s="292">
        <f t="shared" si="48"/>
        <v>0</v>
      </c>
      <c r="FV14" s="288">
        <f t="shared" si="49"/>
        <v>0</v>
      </c>
      <c r="FW14" s="272">
        <f t="shared" si="50"/>
        <v>0</v>
      </c>
      <c r="FX14" s="271">
        <f t="shared" si="93"/>
        <v>0</v>
      </c>
      <c r="FY14" s="272">
        <f t="shared" si="51"/>
        <v>0</v>
      </c>
      <c r="FZ14" s="272">
        <f t="shared" si="52"/>
        <v>0</v>
      </c>
      <c r="GA14" s="290">
        <f t="shared" si="53"/>
        <v>0</v>
      </c>
      <c r="GB14" s="290">
        <f t="shared" si="54"/>
        <v>0</v>
      </c>
      <c r="GC14" s="288">
        <f t="shared" si="55"/>
        <v>0</v>
      </c>
      <c r="GD14" s="272">
        <f t="shared" si="56"/>
        <v>0</v>
      </c>
      <c r="GE14" s="271">
        <f t="shared" si="94"/>
        <v>0</v>
      </c>
      <c r="GF14" s="272">
        <f t="shared" si="57"/>
        <v>0</v>
      </c>
      <c r="GG14" s="272">
        <f t="shared" si="58"/>
        <v>0</v>
      </c>
      <c r="GH14" s="290">
        <f t="shared" si="59"/>
        <v>0</v>
      </c>
      <c r="GI14" s="290">
        <f t="shared" si="60"/>
        <v>0</v>
      </c>
      <c r="GJ14" s="288">
        <f t="shared" si="61"/>
        <v>0</v>
      </c>
      <c r="GK14" s="272">
        <f t="shared" si="62"/>
        <v>0</v>
      </c>
      <c r="GL14" s="271">
        <f t="shared" si="95"/>
        <v>0</v>
      </c>
      <c r="GM14" s="271">
        <f t="shared" si="63"/>
        <v>0</v>
      </c>
      <c r="GN14" s="271">
        <f t="shared" si="64"/>
        <v>0</v>
      </c>
      <c r="GO14" s="290">
        <f t="shared" si="65"/>
        <v>0</v>
      </c>
      <c r="GP14" s="290">
        <f t="shared" si="66"/>
        <v>0</v>
      </c>
      <c r="GQ14" s="271">
        <f t="shared" si="67"/>
        <v>0</v>
      </c>
      <c r="GR14" s="271">
        <f t="shared" si="68"/>
        <v>0</v>
      </c>
      <c r="GS14" s="290">
        <f t="shared" si="69"/>
        <v>0</v>
      </c>
      <c r="GT14" s="290">
        <f t="shared" si="70"/>
        <v>0</v>
      </c>
      <c r="GU14" s="296">
        <f t="shared" si="71"/>
        <v>0</v>
      </c>
      <c r="GV14" s="291">
        <f t="shared" si="72"/>
        <v>0</v>
      </c>
      <c r="GW14" s="30">
        <f t="shared" si="73"/>
        <v>0</v>
      </c>
      <c r="GX14" s="31">
        <f t="shared" si="74"/>
        <v>0</v>
      </c>
      <c r="GY14" s="301">
        <f t="shared" si="75"/>
        <v>0</v>
      </c>
      <c r="GZ14" s="294">
        <f t="shared" si="76"/>
        <v>0</v>
      </c>
      <c r="HA14" s="294">
        <f t="shared" si="77"/>
        <v>0</v>
      </c>
      <c r="HB14" s="31">
        <f t="shared" si="78"/>
        <v>0</v>
      </c>
    </row>
    <row r="15" spans="1:210" ht="24" x14ac:dyDescent="0.55000000000000004">
      <c r="A15" s="4">
        <v>7</v>
      </c>
      <c r="B15" s="26"/>
      <c r="C15" s="26"/>
      <c r="D15" s="26"/>
      <c r="E15" s="26"/>
      <c r="F15" s="26"/>
      <c r="G15" s="26"/>
      <c r="H15" s="4"/>
      <c r="I15" s="5"/>
      <c r="J15" s="7"/>
      <c r="K15" s="28"/>
      <c r="L15" s="28"/>
      <c r="M15" s="4"/>
      <c r="N15" s="5"/>
      <c r="O15" s="7"/>
      <c r="P15" s="193"/>
      <c r="Q15" s="193"/>
      <c r="R15" s="194"/>
      <c r="S15" s="31"/>
      <c r="T15" s="31"/>
      <c r="U15" s="4"/>
      <c r="V15" s="5"/>
      <c r="W15" s="7"/>
      <c r="X15" s="193"/>
      <c r="Y15" s="193"/>
      <c r="Z15" s="193"/>
      <c r="AA15" s="30"/>
      <c r="AB15" s="5"/>
      <c r="AC15" s="7"/>
      <c r="AD15" s="193"/>
      <c r="AE15" s="193"/>
      <c r="AF15" s="193"/>
      <c r="AG15" s="4"/>
      <c r="AH15" s="5"/>
      <c r="AI15" s="7"/>
      <c r="AJ15" s="31"/>
      <c r="AK15" s="28"/>
      <c r="AL15" s="4"/>
      <c r="AM15" s="31"/>
      <c r="AN15" s="7"/>
      <c r="AO15" s="231"/>
      <c r="AP15" s="231"/>
      <c r="AQ15" s="231"/>
      <c r="AR15" s="31"/>
      <c r="AS15" s="31"/>
      <c r="AT15" s="4"/>
      <c r="AU15" s="31"/>
      <c r="AV15" s="7"/>
      <c r="AW15" s="231"/>
      <c r="AX15" s="231"/>
      <c r="AY15" s="231"/>
      <c r="AZ15" s="30"/>
      <c r="BA15" s="31"/>
      <c r="BB15" s="7"/>
      <c r="BC15" s="231"/>
      <c r="BD15" s="231"/>
      <c r="BE15" s="231"/>
      <c r="BF15" s="310">
        <f t="shared" ref="BF15:BF18" si="111">IF(AND(AH15&gt;0,ES15=0,EZ15=0,FG15=0),AG15,IF(AND(AH15&gt;0,FG15&gt;0,FG15&lt;=DM15),AZ15,IF(AND(AH15&gt;0,FG15&gt;0,FG15&gt;DM15),AG15,IF(AND(AH15=0,ES15&gt;0,FG15=0),AL15,IF(AND(AH15=0,ES15&gt;0,FG15&gt;0),AZ15,0)))))</f>
        <v>0</v>
      </c>
      <c r="BG15" s="310">
        <f t="shared" si="1"/>
        <v>0</v>
      </c>
      <c r="BH15" s="311">
        <f t="shared" si="79"/>
        <v>0</v>
      </c>
      <c r="BI15" s="29"/>
      <c r="BJ15" s="29"/>
      <c r="BK15" s="4"/>
      <c r="BL15" s="5"/>
      <c r="BM15" s="7">
        <f t="shared" si="109"/>
        <v>0</v>
      </c>
      <c r="BN15" s="197">
        <f t="shared" si="3"/>
        <v>0</v>
      </c>
      <c r="BO15" s="31"/>
      <c r="BP15" s="31"/>
      <c r="BQ15" s="4"/>
      <c r="BR15" s="31"/>
      <c r="BS15" s="7"/>
      <c r="BT15" s="32"/>
      <c r="BU15" s="32"/>
      <c r="BV15" s="32"/>
      <c r="BW15" s="31"/>
      <c r="BX15" s="28"/>
      <c r="BY15" s="4"/>
      <c r="BZ15" s="31"/>
      <c r="CA15" s="7"/>
      <c r="CB15" s="32"/>
      <c r="CC15" s="32"/>
      <c r="CD15" s="32"/>
      <c r="CE15" s="29"/>
      <c r="CF15" s="61" t="str">
        <f t="shared" si="4"/>
        <v>0</v>
      </c>
      <c r="CG15" s="28"/>
      <c r="CH15" s="28"/>
      <c r="CI15" s="30"/>
      <c r="CJ15" s="31"/>
      <c r="CK15" s="7"/>
      <c r="CL15" s="32"/>
      <c r="CM15" s="32"/>
      <c r="CN15" s="32"/>
      <c r="CO15" s="266">
        <f t="shared" ref="CO15:CO18" si="112">IF(AND(BL15&gt;0,FV15=0,GJ15=0),BK15,IF(AND(BL15&gt;0,FV15=0,GJ15&gt;DO15),BK15,IF(AND(BL15&gt;0,FV15=0,FG15&gt;0,FG15&lt;=DO15),CI15,IF(AND(BL15=0,GE15&gt;0,GE15&lt;=DO15),BY15,IF(AND(BL15=0,GE15&gt;0,GE15&gt;DO15),0,0)))))</f>
        <v>0</v>
      </c>
      <c r="CP15" s="308">
        <f t="shared" ref="CP15:CP18" si="113">IF(AND(BL15&gt;0,FV15=0,GJ15=0),BL15,IF(AND(BL15&gt;0,FV15=0,GJ15&gt;DO15),BL15,IF(AND(BL15&gt;0,FV15=0,FG15&gt;0,FG15&lt;=DO15),CJ15,IF(AND(BL15=0,GE15&gt;0,GE15&lt;=DO15),BZ15,IF(AND(BL15=0,GE15&gt;0,GE15&gt;DO15),0,0)))))</f>
        <v>0</v>
      </c>
      <c r="CQ15" s="7"/>
      <c r="CR15" s="202"/>
      <c r="CS15" s="4"/>
      <c r="CT15" s="4"/>
      <c r="CU15" s="5"/>
      <c r="CV15" s="7">
        <f t="shared" si="110"/>
        <v>0</v>
      </c>
      <c r="CW15" s="7">
        <f t="shared" si="7"/>
        <v>0</v>
      </c>
      <c r="CX15" s="33">
        <f t="shared" si="81"/>
        <v>0</v>
      </c>
      <c r="CY15" s="34">
        <f t="shared" si="8"/>
        <v>0</v>
      </c>
      <c r="CZ15" s="34">
        <f t="shared" si="9"/>
        <v>0</v>
      </c>
      <c r="DA15" s="235">
        <f t="shared" si="82"/>
        <v>0</v>
      </c>
      <c r="DB15" s="235">
        <f t="shared" si="83"/>
        <v>0</v>
      </c>
      <c r="DC15" s="237">
        <f t="shared" si="84"/>
        <v>0</v>
      </c>
      <c r="DD15" s="237">
        <f t="shared" si="85"/>
        <v>0</v>
      </c>
      <c r="DE15" s="35">
        <f t="shared" si="10"/>
        <v>0</v>
      </c>
      <c r="DF15" s="35">
        <f t="shared" si="11"/>
        <v>0</v>
      </c>
      <c r="DG15" s="236">
        <f t="shared" si="12"/>
        <v>0</v>
      </c>
      <c r="DH15" s="236">
        <f t="shared" si="13"/>
        <v>0</v>
      </c>
      <c r="DI15" s="236">
        <f t="shared" si="86"/>
        <v>0</v>
      </c>
      <c r="DK15" s="6">
        <v>240240</v>
      </c>
      <c r="DL15" s="226">
        <v>240301</v>
      </c>
      <c r="DM15" s="226">
        <v>240391</v>
      </c>
      <c r="DN15" s="226">
        <v>240422</v>
      </c>
      <c r="DO15" s="226">
        <v>240575</v>
      </c>
      <c r="DP15" s="226">
        <v>240605</v>
      </c>
      <c r="DQ15" s="27" t="s">
        <v>46</v>
      </c>
      <c r="DR15" s="27" t="s">
        <v>47</v>
      </c>
      <c r="DS15" s="27" t="s">
        <v>48</v>
      </c>
      <c r="DT15" s="288">
        <f t="shared" si="14"/>
        <v>0</v>
      </c>
      <c r="DU15" s="272">
        <f t="shared" si="15"/>
        <v>0</v>
      </c>
      <c r="DV15" s="271">
        <f t="shared" si="87"/>
        <v>0</v>
      </c>
      <c r="DW15" s="271">
        <f t="shared" si="88"/>
        <v>0</v>
      </c>
      <c r="DX15" s="271">
        <f t="shared" si="89"/>
        <v>0</v>
      </c>
      <c r="DY15" s="307">
        <f t="shared" si="16"/>
        <v>0</v>
      </c>
      <c r="DZ15" s="307">
        <f t="shared" si="17"/>
        <v>0</v>
      </c>
      <c r="EA15" s="288">
        <f t="shared" si="18"/>
        <v>0</v>
      </c>
      <c r="EB15" s="272">
        <f t="shared" si="19"/>
        <v>0</v>
      </c>
      <c r="EC15" s="271">
        <f t="shared" si="20"/>
        <v>0</v>
      </c>
      <c r="ED15" s="272">
        <f t="shared" si="96"/>
        <v>0</v>
      </c>
      <c r="EE15" s="272">
        <f t="shared" si="97"/>
        <v>0</v>
      </c>
      <c r="EF15" s="307">
        <f t="shared" si="21"/>
        <v>0</v>
      </c>
      <c r="EG15" s="307">
        <f t="shared" si="22"/>
        <v>0</v>
      </c>
      <c r="EH15" s="288">
        <f t="shared" si="23"/>
        <v>0</v>
      </c>
      <c r="EI15" s="272">
        <f t="shared" si="24"/>
        <v>0</v>
      </c>
      <c r="EJ15" s="271">
        <f t="shared" si="25"/>
        <v>0</v>
      </c>
      <c r="EK15" s="271">
        <f t="shared" si="98"/>
        <v>0</v>
      </c>
      <c r="EL15" s="271">
        <f t="shared" si="99"/>
        <v>0</v>
      </c>
      <c r="EM15" s="290">
        <f t="shared" si="26"/>
        <v>0</v>
      </c>
      <c r="EN15" s="290">
        <f t="shared" si="27"/>
        <v>0</v>
      </c>
      <c r="EO15" s="271">
        <f t="shared" si="100"/>
        <v>0</v>
      </c>
      <c r="EP15" s="271">
        <f t="shared" si="101"/>
        <v>0</v>
      </c>
      <c r="EQ15" s="290">
        <f t="shared" si="28"/>
        <v>0</v>
      </c>
      <c r="ER15" s="290">
        <f t="shared" si="29"/>
        <v>0</v>
      </c>
      <c r="ES15" s="288">
        <f t="shared" si="30"/>
        <v>0</v>
      </c>
      <c r="ET15" s="272">
        <f t="shared" si="31"/>
        <v>0</v>
      </c>
      <c r="EU15" s="271">
        <f t="shared" si="90"/>
        <v>0</v>
      </c>
      <c r="EV15" s="271">
        <f t="shared" si="102"/>
        <v>0</v>
      </c>
      <c r="EW15" s="271">
        <f t="shared" si="103"/>
        <v>0</v>
      </c>
      <c r="EX15" s="290">
        <f t="shared" si="104"/>
        <v>0</v>
      </c>
      <c r="EY15" s="290">
        <f t="shared" si="105"/>
        <v>0</v>
      </c>
      <c r="EZ15" s="288">
        <f t="shared" si="32"/>
        <v>0</v>
      </c>
      <c r="FA15" s="272">
        <f t="shared" si="33"/>
        <v>0</v>
      </c>
      <c r="FB15" s="271">
        <f t="shared" si="91"/>
        <v>0</v>
      </c>
      <c r="FC15" s="272">
        <f t="shared" si="106"/>
        <v>0</v>
      </c>
      <c r="FD15" s="272">
        <f t="shared" si="107"/>
        <v>0</v>
      </c>
      <c r="FE15" s="290">
        <f t="shared" si="34"/>
        <v>0</v>
      </c>
      <c r="FF15" s="290">
        <f t="shared" si="35"/>
        <v>0</v>
      </c>
      <c r="FG15" s="288">
        <f t="shared" si="36"/>
        <v>0</v>
      </c>
      <c r="FH15" s="272">
        <f t="shared" si="37"/>
        <v>0</v>
      </c>
      <c r="FI15" s="271">
        <f t="shared" si="92"/>
        <v>0</v>
      </c>
      <c r="FJ15" s="293">
        <f t="shared" si="38"/>
        <v>0</v>
      </c>
      <c r="FK15" s="293">
        <f t="shared" si="39"/>
        <v>0</v>
      </c>
      <c r="FL15" s="290">
        <f t="shared" si="40"/>
        <v>0</v>
      </c>
      <c r="FM15" s="290">
        <f t="shared" si="41"/>
        <v>0</v>
      </c>
      <c r="FN15" s="293">
        <f t="shared" si="42"/>
        <v>0</v>
      </c>
      <c r="FO15" s="293">
        <f t="shared" si="108"/>
        <v>0</v>
      </c>
      <c r="FP15" s="290">
        <f t="shared" si="43"/>
        <v>0</v>
      </c>
      <c r="FQ15" s="290">
        <f t="shared" si="44"/>
        <v>0</v>
      </c>
      <c r="FR15" s="272">
        <f t="shared" si="45"/>
        <v>0</v>
      </c>
      <c r="FS15" s="294">
        <f t="shared" si="46"/>
        <v>0</v>
      </c>
      <c r="FT15" s="31">
        <f t="shared" si="47"/>
        <v>0</v>
      </c>
      <c r="FU15" s="292">
        <f t="shared" si="48"/>
        <v>0</v>
      </c>
      <c r="FV15" s="288">
        <f t="shared" si="49"/>
        <v>0</v>
      </c>
      <c r="FW15" s="272">
        <f t="shared" si="50"/>
        <v>0</v>
      </c>
      <c r="FX15" s="271">
        <f t="shared" si="93"/>
        <v>0</v>
      </c>
      <c r="FY15" s="272">
        <f t="shared" si="51"/>
        <v>0</v>
      </c>
      <c r="FZ15" s="272">
        <f t="shared" si="52"/>
        <v>0</v>
      </c>
      <c r="GA15" s="290">
        <f t="shared" si="53"/>
        <v>0</v>
      </c>
      <c r="GB15" s="290">
        <f t="shared" si="54"/>
        <v>0</v>
      </c>
      <c r="GC15" s="288">
        <f t="shared" si="55"/>
        <v>0</v>
      </c>
      <c r="GD15" s="272">
        <f t="shared" si="56"/>
        <v>0</v>
      </c>
      <c r="GE15" s="271">
        <f t="shared" si="94"/>
        <v>0</v>
      </c>
      <c r="GF15" s="272">
        <f t="shared" si="57"/>
        <v>0</v>
      </c>
      <c r="GG15" s="272">
        <f t="shared" si="58"/>
        <v>0</v>
      </c>
      <c r="GH15" s="290">
        <f t="shared" si="59"/>
        <v>0</v>
      </c>
      <c r="GI15" s="290">
        <f t="shared" si="60"/>
        <v>0</v>
      </c>
      <c r="GJ15" s="288">
        <f t="shared" si="61"/>
        <v>0</v>
      </c>
      <c r="GK15" s="272">
        <f t="shared" si="62"/>
        <v>0</v>
      </c>
      <c r="GL15" s="271">
        <f t="shared" si="95"/>
        <v>0</v>
      </c>
      <c r="GM15" s="271">
        <f t="shared" si="63"/>
        <v>0</v>
      </c>
      <c r="GN15" s="271">
        <f t="shared" si="64"/>
        <v>0</v>
      </c>
      <c r="GO15" s="290">
        <f t="shared" si="65"/>
        <v>0</v>
      </c>
      <c r="GP15" s="290">
        <f t="shared" si="66"/>
        <v>0</v>
      </c>
      <c r="GQ15" s="271">
        <f t="shared" si="67"/>
        <v>0</v>
      </c>
      <c r="GR15" s="271">
        <f t="shared" si="68"/>
        <v>0</v>
      </c>
      <c r="GS15" s="290">
        <f t="shared" si="69"/>
        <v>0</v>
      </c>
      <c r="GT15" s="290">
        <f t="shared" si="70"/>
        <v>0</v>
      </c>
      <c r="GU15" s="296">
        <f t="shared" si="71"/>
        <v>0</v>
      </c>
      <c r="GV15" s="291">
        <f t="shared" si="72"/>
        <v>0</v>
      </c>
      <c r="GW15" s="30">
        <f t="shared" si="73"/>
        <v>0</v>
      </c>
      <c r="GX15" s="31">
        <f t="shared" si="74"/>
        <v>0</v>
      </c>
      <c r="GY15" s="301">
        <f t="shared" si="75"/>
        <v>0</v>
      </c>
      <c r="GZ15" s="294">
        <f t="shared" si="76"/>
        <v>0</v>
      </c>
      <c r="HA15" s="294">
        <f t="shared" si="77"/>
        <v>0</v>
      </c>
      <c r="HB15" s="31">
        <f t="shared" si="78"/>
        <v>0</v>
      </c>
    </row>
    <row r="16" spans="1:210" ht="24" x14ac:dyDescent="0.55000000000000004">
      <c r="A16" s="4">
        <v>8</v>
      </c>
      <c r="B16" s="26"/>
      <c r="C16" s="26"/>
      <c r="D16" s="26"/>
      <c r="E16" s="26"/>
      <c r="F16" s="26"/>
      <c r="G16" s="26"/>
      <c r="H16" s="4"/>
      <c r="I16" s="5"/>
      <c r="J16" s="7"/>
      <c r="K16" s="28"/>
      <c r="L16" s="28"/>
      <c r="M16" s="4"/>
      <c r="N16" s="5"/>
      <c r="O16" s="7"/>
      <c r="P16" s="193"/>
      <c r="Q16" s="193"/>
      <c r="R16" s="194"/>
      <c r="S16" s="31"/>
      <c r="T16" s="31"/>
      <c r="U16" s="4"/>
      <c r="V16" s="5"/>
      <c r="W16" s="7"/>
      <c r="X16" s="193"/>
      <c r="Y16" s="193"/>
      <c r="Z16" s="193"/>
      <c r="AA16" s="30"/>
      <c r="AB16" s="5"/>
      <c r="AC16" s="7"/>
      <c r="AD16" s="193"/>
      <c r="AE16" s="193"/>
      <c r="AF16" s="193"/>
      <c r="AG16" s="4"/>
      <c r="AH16" s="5"/>
      <c r="AI16" s="7"/>
      <c r="AJ16" s="31"/>
      <c r="AK16" s="28"/>
      <c r="AL16" s="4"/>
      <c r="AM16" s="31"/>
      <c r="AN16" s="7"/>
      <c r="AO16" s="231"/>
      <c r="AP16" s="231"/>
      <c r="AQ16" s="231"/>
      <c r="AR16" s="31"/>
      <c r="AS16" s="31"/>
      <c r="AT16" s="4"/>
      <c r="AU16" s="31"/>
      <c r="AV16" s="7"/>
      <c r="AW16" s="231"/>
      <c r="AX16" s="231"/>
      <c r="AY16" s="231"/>
      <c r="AZ16" s="30"/>
      <c r="BA16" s="31"/>
      <c r="BB16" s="7"/>
      <c r="BC16" s="231"/>
      <c r="BD16" s="231"/>
      <c r="BE16" s="231"/>
      <c r="BF16" s="310">
        <f t="shared" si="111"/>
        <v>0</v>
      </c>
      <c r="BG16" s="310">
        <f t="shared" si="1"/>
        <v>0</v>
      </c>
      <c r="BH16" s="311">
        <f t="shared" si="79"/>
        <v>0</v>
      </c>
      <c r="BI16" s="29"/>
      <c r="BJ16" s="29"/>
      <c r="BK16" s="4"/>
      <c r="BL16" s="5"/>
      <c r="BM16" s="7">
        <f t="shared" si="109"/>
        <v>0</v>
      </c>
      <c r="BN16" s="197">
        <f t="shared" si="3"/>
        <v>0</v>
      </c>
      <c r="BO16" s="31"/>
      <c r="BP16" s="31"/>
      <c r="BQ16" s="4"/>
      <c r="BR16" s="31"/>
      <c r="BS16" s="7"/>
      <c r="BT16" s="32"/>
      <c r="BU16" s="32"/>
      <c r="BV16" s="32"/>
      <c r="BW16" s="31"/>
      <c r="BX16" s="28"/>
      <c r="BY16" s="4"/>
      <c r="BZ16" s="31"/>
      <c r="CA16" s="7"/>
      <c r="CB16" s="32"/>
      <c r="CC16" s="32"/>
      <c r="CD16" s="32"/>
      <c r="CE16" s="29"/>
      <c r="CF16" s="61" t="str">
        <f t="shared" si="4"/>
        <v>0</v>
      </c>
      <c r="CG16" s="28"/>
      <c r="CH16" s="28"/>
      <c r="CI16" s="30"/>
      <c r="CJ16" s="31"/>
      <c r="CK16" s="7"/>
      <c r="CL16" s="32"/>
      <c r="CM16" s="32"/>
      <c r="CN16" s="32"/>
      <c r="CO16" s="266">
        <f t="shared" si="112"/>
        <v>0</v>
      </c>
      <c r="CP16" s="308">
        <f t="shared" si="113"/>
        <v>0</v>
      </c>
      <c r="CQ16" s="7"/>
      <c r="CR16" s="202"/>
      <c r="CS16" s="4"/>
      <c r="CT16" s="4"/>
      <c r="CU16" s="5"/>
      <c r="CV16" s="7">
        <f t="shared" si="110"/>
        <v>0</v>
      </c>
      <c r="CW16" s="7">
        <f t="shared" si="7"/>
        <v>0</v>
      </c>
      <c r="CX16" s="33">
        <f t="shared" si="81"/>
        <v>0</v>
      </c>
      <c r="CY16" s="34">
        <f t="shared" si="8"/>
        <v>0</v>
      </c>
      <c r="CZ16" s="34">
        <f t="shared" si="9"/>
        <v>0</v>
      </c>
      <c r="DA16" s="235">
        <f t="shared" si="82"/>
        <v>0</v>
      </c>
      <c r="DB16" s="235">
        <f t="shared" si="83"/>
        <v>0</v>
      </c>
      <c r="DC16" s="237">
        <f t="shared" si="84"/>
        <v>0</v>
      </c>
      <c r="DD16" s="237">
        <f t="shared" si="85"/>
        <v>0</v>
      </c>
      <c r="DE16" s="35">
        <f t="shared" si="10"/>
        <v>0</v>
      </c>
      <c r="DF16" s="35">
        <f t="shared" si="11"/>
        <v>0</v>
      </c>
      <c r="DG16" s="236">
        <f t="shared" si="12"/>
        <v>0</v>
      </c>
      <c r="DH16" s="236">
        <f t="shared" si="13"/>
        <v>0</v>
      </c>
      <c r="DI16" s="236">
        <f t="shared" si="86"/>
        <v>0</v>
      </c>
      <c r="DK16" s="6">
        <v>240240</v>
      </c>
      <c r="DL16" s="226">
        <v>240301</v>
      </c>
      <c r="DM16" s="226">
        <v>240391</v>
      </c>
      <c r="DN16" s="226">
        <v>240422</v>
      </c>
      <c r="DO16" s="226">
        <v>240575</v>
      </c>
      <c r="DP16" s="226">
        <v>240605</v>
      </c>
      <c r="DQ16" s="27" t="s">
        <v>46</v>
      </c>
      <c r="DR16" s="27" t="s">
        <v>47</v>
      </c>
      <c r="DS16" s="27" t="s">
        <v>48</v>
      </c>
      <c r="DT16" s="288">
        <f t="shared" si="14"/>
        <v>0</v>
      </c>
      <c r="DU16" s="272">
        <f t="shared" si="15"/>
        <v>0</v>
      </c>
      <c r="DV16" s="271">
        <f t="shared" si="87"/>
        <v>0</v>
      </c>
      <c r="DW16" s="271">
        <f t="shared" si="88"/>
        <v>0</v>
      </c>
      <c r="DX16" s="271">
        <f t="shared" si="89"/>
        <v>0</v>
      </c>
      <c r="DY16" s="307">
        <f t="shared" si="16"/>
        <v>0</v>
      </c>
      <c r="DZ16" s="307">
        <f t="shared" si="17"/>
        <v>0</v>
      </c>
      <c r="EA16" s="288">
        <f t="shared" si="18"/>
        <v>0</v>
      </c>
      <c r="EB16" s="272">
        <f t="shared" si="19"/>
        <v>0</v>
      </c>
      <c r="EC16" s="271">
        <f t="shared" si="20"/>
        <v>0</v>
      </c>
      <c r="ED16" s="272">
        <f t="shared" si="96"/>
        <v>0</v>
      </c>
      <c r="EE16" s="272">
        <f t="shared" si="97"/>
        <v>0</v>
      </c>
      <c r="EF16" s="307">
        <f t="shared" si="21"/>
        <v>0</v>
      </c>
      <c r="EG16" s="307">
        <f t="shared" si="22"/>
        <v>0</v>
      </c>
      <c r="EH16" s="288">
        <f t="shared" si="23"/>
        <v>0</v>
      </c>
      <c r="EI16" s="272">
        <f t="shared" si="24"/>
        <v>0</v>
      </c>
      <c r="EJ16" s="271">
        <f t="shared" si="25"/>
        <v>0</v>
      </c>
      <c r="EK16" s="271">
        <f t="shared" si="98"/>
        <v>0</v>
      </c>
      <c r="EL16" s="271">
        <f t="shared" si="99"/>
        <v>0</v>
      </c>
      <c r="EM16" s="290">
        <f t="shared" si="26"/>
        <v>0</v>
      </c>
      <c r="EN16" s="290">
        <f t="shared" si="27"/>
        <v>0</v>
      </c>
      <c r="EO16" s="271">
        <f t="shared" si="100"/>
        <v>0</v>
      </c>
      <c r="EP16" s="271">
        <f t="shared" si="101"/>
        <v>0</v>
      </c>
      <c r="EQ16" s="290">
        <f t="shared" si="28"/>
        <v>0</v>
      </c>
      <c r="ER16" s="290">
        <f t="shared" si="29"/>
        <v>0</v>
      </c>
      <c r="ES16" s="288">
        <f t="shared" si="30"/>
        <v>0</v>
      </c>
      <c r="ET16" s="272">
        <f t="shared" si="31"/>
        <v>0</v>
      </c>
      <c r="EU16" s="271">
        <f t="shared" si="90"/>
        <v>0</v>
      </c>
      <c r="EV16" s="271">
        <f t="shared" si="102"/>
        <v>0</v>
      </c>
      <c r="EW16" s="271">
        <f t="shared" si="103"/>
        <v>0</v>
      </c>
      <c r="EX16" s="290">
        <f t="shared" si="104"/>
        <v>0</v>
      </c>
      <c r="EY16" s="290">
        <f t="shared" si="105"/>
        <v>0</v>
      </c>
      <c r="EZ16" s="288">
        <f t="shared" si="32"/>
        <v>0</v>
      </c>
      <c r="FA16" s="272">
        <f t="shared" si="33"/>
        <v>0</v>
      </c>
      <c r="FB16" s="271">
        <f t="shared" si="91"/>
        <v>0</v>
      </c>
      <c r="FC16" s="272">
        <f t="shared" si="106"/>
        <v>0</v>
      </c>
      <c r="FD16" s="272">
        <f t="shared" si="107"/>
        <v>0</v>
      </c>
      <c r="FE16" s="290">
        <f t="shared" si="34"/>
        <v>0</v>
      </c>
      <c r="FF16" s="290">
        <f t="shared" si="35"/>
        <v>0</v>
      </c>
      <c r="FG16" s="288">
        <f t="shared" si="36"/>
        <v>0</v>
      </c>
      <c r="FH16" s="272">
        <f t="shared" si="37"/>
        <v>0</v>
      </c>
      <c r="FI16" s="271">
        <f t="shared" si="92"/>
        <v>0</v>
      </c>
      <c r="FJ16" s="293">
        <f t="shared" si="38"/>
        <v>0</v>
      </c>
      <c r="FK16" s="293">
        <f t="shared" si="39"/>
        <v>0</v>
      </c>
      <c r="FL16" s="290">
        <f t="shared" si="40"/>
        <v>0</v>
      </c>
      <c r="FM16" s="290">
        <f t="shared" si="41"/>
        <v>0</v>
      </c>
      <c r="FN16" s="293">
        <f t="shared" si="42"/>
        <v>0</v>
      </c>
      <c r="FO16" s="293">
        <f t="shared" si="108"/>
        <v>0</v>
      </c>
      <c r="FP16" s="290">
        <f t="shared" si="43"/>
        <v>0</v>
      </c>
      <c r="FQ16" s="290">
        <f t="shared" si="44"/>
        <v>0</v>
      </c>
      <c r="FR16" s="272">
        <f t="shared" si="45"/>
        <v>0</v>
      </c>
      <c r="FS16" s="294">
        <f t="shared" si="46"/>
        <v>0</v>
      </c>
      <c r="FT16" s="31">
        <f t="shared" si="47"/>
        <v>0</v>
      </c>
      <c r="FU16" s="292">
        <f t="shared" si="48"/>
        <v>0</v>
      </c>
      <c r="FV16" s="288">
        <f t="shared" si="49"/>
        <v>0</v>
      </c>
      <c r="FW16" s="272">
        <f t="shared" si="50"/>
        <v>0</v>
      </c>
      <c r="FX16" s="271">
        <f t="shared" si="93"/>
        <v>0</v>
      </c>
      <c r="FY16" s="272">
        <f t="shared" si="51"/>
        <v>0</v>
      </c>
      <c r="FZ16" s="272">
        <f t="shared" si="52"/>
        <v>0</v>
      </c>
      <c r="GA16" s="290">
        <f t="shared" si="53"/>
        <v>0</v>
      </c>
      <c r="GB16" s="290">
        <f t="shared" si="54"/>
        <v>0</v>
      </c>
      <c r="GC16" s="288">
        <f t="shared" si="55"/>
        <v>0</v>
      </c>
      <c r="GD16" s="272">
        <f t="shared" si="56"/>
        <v>0</v>
      </c>
      <c r="GE16" s="271">
        <f t="shared" si="94"/>
        <v>0</v>
      </c>
      <c r="GF16" s="272">
        <f t="shared" si="57"/>
        <v>0</v>
      </c>
      <c r="GG16" s="272">
        <f t="shared" si="58"/>
        <v>0</v>
      </c>
      <c r="GH16" s="290">
        <f t="shared" si="59"/>
        <v>0</v>
      </c>
      <c r="GI16" s="290">
        <f t="shared" si="60"/>
        <v>0</v>
      </c>
      <c r="GJ16" s="288">
        <f t="shared" si="61"/>
        <v>0</v>
      </c>
      <c r="GK16" s="272">
        <f t="shared" si="62"/>
        <v>0</v>
      </c>
      <c r="GL16" s="271">
        <f t="shared" si="95"/>
        <v>0</v>
      </c>
      <c r="GM16" s="271">
        <f t="shared" si="63"/>
        <v>0</v>
      </c>
      <c r="GN16" s="271">
        <f t="shared" si="64"/>
        <v>0</v>
      </c>
      <c r="GO16" s="290">
        <f t="shared" si="65"/>
        <v>0</v>
      </c>
      <c r="GP16" s="290">
        <f t="shared" si="66"/>
        <v>0</v>
      </c>
      <c r="GQ16" s="271">
        <f t="shared" si="67"/>
        <v>0</v>
      </c>
      <c r="GR16" s="271">
        <f t="shared" si="68"/>
        <v>0</v>
      </c>
      <c r="GS16" s="290">
        <f t="shared" si="69"/>
        <v>0</v>
      </c>
      <c r="GT16" s="290">
        <f t="shared" si="70"/>
        <v>0</v>
      </c>
      <c r="GU16" s="296">
        <f t="shared" si="71"/>
        <v>0</v>
      </c>
      <c r="GV16" s="291">
        <f t="shared" si="72"/>
        <v>0</v>
      </c>
      <c r="GW16" s="30">
        <f t="shared" si="73"/>
        <v>0</v>
      </c>
      <c r="GX16" s="31">
        <f t="shared" si="74"/>
        <v>0</v>
      </c>
      <c r="GY16" s="301">
        <f t="shared" si="75"/>
        <v>0</v>
      </c>
      <c r="GZ16" s="294">
        <f t="shared" si="76"/>
        <v>0</v>
      </c>
      <c r="HA16" s="294">
        <f t="shared" si="77"/>
        <v>0</v>
      </c>
      <c r="HB16" s="31">
        <f t="shared" si="78"/>
        <v>0</v>
      </c>
    </row>
    <row r="17" spans="1:210" ht="24" x14ac:dyDescent="0.55000000000000004">
      <c r="A17" s="4">
        <v>9</v>
      </c>
      <c r="B17" s="26"/>
      <c r="C17" s="26"/>
      <c r="D17" s="26"/>
      <c r="E17" s="26"/>
      <c r="F17" s="26"/>
      <c r="G17" s="26"/>
      <c r="H17" s="4"/>
      <c r="I17" s="5"/>
      <c r="J17" s="7"/>
      <c r="K17" s="28"/>
      <c r="L17" s="28"/>
      <c r="M17" s="4"/>
      <c r="N17" s="5"/>
      <c r="O17" s="7"/>
      <c r="P17" s="193"/>
      <c r="Q17" s="193"/>
      <c r="R17" s="194"/>
      <c r="S17" s="31"/>
      <c r="T17" s="31"/>
      <c r="U17" s="4"/>
      <c r="V17" s="5"/>
      <c r="W17" s="7"/>
      <c r="X17" s="193"/>
      <c r="Y17" s="193"/>
      <c r="Z17" s="193"/>
      <c r="AA17" s="30"/>
      <c r="AB17" s="5"/>
      <c r="AC17" s="7"/>
      <c r="AD17" s="193"/>
      <c r="AE17" s="193"/>
      <c r="AF17" s="193"/>
      <c r="AG17" s="4"/>
      <c r="AH17" s="5"/>
      <c r="AI17" s="7"/>
      <c r="AJ17" s="31"/>
      <c r="AK17" s="28"/>
      <c r="AL17" s="4"/>
      <c r="AM17" s="31"/>
      <c r="AN17" s="7"/>
      <c r="AO17" s="231"/>
      <c r="AP17" s="231"/>
      <c r="AQ17" s="231"/>
      <c r="AR17" s="31"/>
      <c r="AS17" s="31"/>
      <c r="AT17" s="4"/>
      <c r="AU17" s="31"/>
      <c r="AV17" s="7"/>
      <c r="AW17" s="231"/>
      <c r="AX17" s="231"/>
      <c r="AY17" s="231"/>
      <c r="AZ17" s="30"/>
      <c r="BA17" s="31"/>
      <c r="BB17" s="7"/>
      <c r="BC17" s="231"/>
      <c r="BD17" s="231"/>
      <c r="BE17" s="231"/>
      <c r="BF17" s="310">
        <f t="shared" si="111"/>
        <v>0</v>
      </c>
      <c r="BG17" s="310">
        <f t="shared" si="1"/>
        <v>0</v>
      </c>
      <c r="BH17" s="311">
        <f t="shared" si="79"/>
        <v>0</v>
      </c>
      <c r="BI17" s="29"/>
      <c r="BJ17" s="29"/>
      <c r="BK17" s="4"/>
      <c r="BL17" s="5"/>
      <c r="BM17" s="7">
        <f>IF(OR(BI17=0,BL17=0),0,IF(AND(FG17&gt;0,FG17&gt;=DM17,FG17&lt;DN17),BL17-BA17,BL17-BG17))</f>
        <v>0</v>
      </c>
      <c r="BN17" s="197">
        <f t="shared" si="3"/>
        <v>0</v>
      </c>
      <c r="BO17" s="31"/>
      <c r="BP17" s="31"/>
      <c r="BQ17" s="4"/>
      <c r="BR17" s="31"/>
      <c r="BS17" s="7"/>
      <c r="BT17" s="32"/>
      <c r="BU17" s="32"/>
      <c r="BV17" s="32"/>
      <c r="BW17" s="31"/>
      <c r="BX17" s="28"/>
      <c r="BY17" s="4"/>
      <c r="BZ17" s="31"/>
      <c r="CA17" s="7"/>
      <c r="CB17" s="32"/>
      <c r="CC17" s="32"/>
      <c r="CD17" s="32"/>
      <c r="CE17" s="29"/>
      <c r="CF17" s="61" t="str">
        <f t="shared" si="4"/>
        <v>0</v>
      </c>
      <c r="CG17" s="28"/>
      <c r="CH17" s="28"/>
      <c r="CI17" s="30"/>
      <c r="CJ17" s="31"/>
      <c r="CK17" s="7"/>
      <c r="CL17" s="32"/>
      <c r="CM17" s="32"/>
      <c r="CN17" s="32"/>
      <c r="CO17" s="266">
        <f t="shared" si="112"/>
        <v>0</v>
      </c>
      <c r="CP17" s="308">
        <f t="shared" si="113"/>
        <v>0</v>
      </c>
      <c r="CQ17" s="7"/>
      <c r="CR17" s="202"/>
      <c r="CS17" s="4"/>
      <c r="CT17" s="4"/>
      <c r="CU17" s="5"/>
      <c r="CV17" s="7">
        <f t="shared" si="110"/>
        <v>0</v>
      </c>
      <c r="CW17" s="7">
        <f t="shared" si="7"/>
        <v>0</v>
      </c>
      <c r="CX17" s="33">
        <f t="shared" si="81"/>
        <v>0</v>
      </c>
      <c r="CY17" s="34">
        <f t="shared" si="8"/>
        <v>0</v>
      </c>
      <c r="CZ17" s="34">
        <f t="shared" si="9"/>
        <v>0</v>
      </c>
      <c r="DA17" s="235">
        <f t="shared" si="82"/>
        <v>0</v>
      </c>
      <c r="DB17" s="235">
        <f t="shared" si="83"/>
        <v>0</v>
      </c>
      <c r="DC17" s="237">
        <f t="shared" si="84"/>
        <v>0</v>
      </c>
      <c r="DD17" s="237">
        <f t="shared" si="85"/>
        <v>0</v>
      </c>
      <c r="DE17" s="35">
        <f t="shared" si="10"/>
        <v>0</v>
      </c>
      <c r="DF17" s="35">
        <f t="shared" si="11"/>
        <v>0</v>
      </c>
      <c r="DG17" s="236">
        <f t="shared" si="12"/>
        <v>0</v>
      </c>
      <c r="DH17" s="236">
        <f t="shared" si="13"/>
        <v>0</v>
      </c>
      <c r="DI17" s="236">
        <f t="shared" si="86"/>
        <v>0</v>
      </c>
      <c r="DK17" s="6">
        <v>240240</v>
      </c>
      <c r="DL17" s="226">
        <v>240301</v>
      </c>
      <c r="DM17" s="226">
        <v>240391</v>
      </c>
      <c r="DN17" s="226">
        <v>240422</v>
      </c>
      <c r="DO17" s="226">
        <v>240575</v>
      </c>
      <c r="DP17" s="226">
        <v>240605</v>
      </c>
      <c r="DQ17" s="27" t="s">
        <v>46</v>
      </c>
      <c r="DR17" s="27" t="s">
        <v>47</v>
      </c>
      <c r="DS17" s="27" t="s">
        <v>48</v>
      </c>
      <c r="DT17" s="288">
        <f t="shared" si="14"/>
        <v>0</v>
      </c>
      <c r="DU17" s="272">
        <f t="shared" si="15"/>
        <v>0</v>
      </c>
      <c r="DV17" s="271">
        <f t="shared" si="87"/>
        <v>0</v>
      </c>
      <c r="DW17" s="271">
        <f t="shared" si="88"/>
        <v>0</v>
      </c>
      <c r="DX17" s="271">
        <f t="shared" si="89"/>
        <v>0</v>
      </c>
      <c r="DY17" s="307">
        <f t="shared" si="16"/>
        <v>0</v>
      </c>
      <c r="DZ17" s="307">
        <f t="shared" si="17"/>
        <v>0</v>
      </c>
      <c r="EA17" s="288">
        <f t="shared" si="18"/>
        <v>0</v>
      </c>
      <c r="EB17" s="272">
        <f t="shared" si="19"/>
        <v>0</v>
      </c>
      <c r="EC17" s="271">
        <f t="shared" si="20"/>
        <v>0</v>
      </c>
      <c r="ED17" s="272">
        <f t="shared" si="96"/>
        <v>0</v>
      </c>
      <c r="EE17" s="272">
        <f t="shared" si="97"/>
        <v>0</v>
      </c>
      <c r="EF17" s="307">
        <f t="shared" si="21"/>
        <v>0</v>
      </c>
      <c r="EG17" s="307">
        <f t="shared" si="22"/>
        <v>0</v>
      </c>
      <c r="EH17" s="288">
        <f t="shared" si="23"/>
        <v>0</v>
      </c>
      <c r="EI17" s="272">
        <f t="shared" si="24"/>
        <v>0</v>
      </c>
      <c r="EJ17" s="271">
        <f t="shared" si="25"/>
        <v>0</v>
      </c>
      <c r="EK17" s="271">
        <f t="shared" si="98"/>
        <v>0</v>
      </c>
      <c r="EL17" s="271">
        <f t="shared" si="99"/>
        <v>0</v>
      </c>
      <c r="EM17" s="290">
        <f t="shared" si="26"/>
        <v>0</v>
      </c>
      <c r="EN17" s="290">
        <f t="shared" si="27"/>
        <v>0</v>
      </c>
      <c r="EO17" s="271">
        <f t="shared" si="100"/>
        <v>0</v>
      </c>
      <c r="EP17" s="271">
        <f t="shared" si="101"/>
        <v>0</v>
      </c>
      <c r="EQ17" s="290">
        <f t="shared" si="28"/>
        <v>0</v>
      </c>
      <c r="ER17" s="290">
        <f t="shared" si="29"/>
        <v>0</v>
      </c>
      <c r="ES17" s="288">
        <f t="shared" si="30"/>
        <v>0</v>
      </c>
      <c r="ET17" s="272">
        <f t="shared" si="31"/>
        <v>0</v>
      </c>
      <c r="EU17" s="271">
        <f t="shared" si="90"/>
        <v>0</v>
      </c>
      <c r="EV17" s="271">
        <f t="shared" si="102"/>
        <v>0</v>
      </c>
      <c r="EW17" s="271">
        <f t="shared" si="103"/>
        <v>0</v>
      </c>
      <c r="EX17" s="290">
        <f t="shared" si="104"/>
        <v>0</v>
      </c>
      <c r="EY17" s="290">
        <f t="shared" si="105"/>
        <v>0</v>
      </c>
      <c r="EZ17" s="288">
        <f t="shared" si="32"/>
        <v>0</v>
      </c>
      <c r="FA17" s="272">
        <f t="shared" si="33"/>
        <v>0</v>
      </c>
      <c r="FB17" s="271">
        <f t="shared" si="91"/>
        <v>0</v>
      </c>
      <c r="FC17" s="272">
        <f t="shared" si="106"/>
        <v>0</v>
      </c>
      <c r="FD17" s="272">
        <f t="shared" si="107"/>
        <v>0</v>
      </c>
      <c r="FE17" s="290">
        <f t="shared" si="34"/>
        <v>0</v>
      </c>
      <c r="FF17" s="290">
        <f t="shared" si="35"/>
        <v>0</v>
      </c>
      <c r="FG17" s="288">
        <f t="shared" si="36"/>
        <v>0</v>
      </c>
      <c r="FH17" s="272">
        <f t="shared" si="37"/>
        <v>0</v>
      </c>
      <c r="FI17" s="271">
        <f t="shared" si="92"/>
        <v>0</v>
      </c>
      <c r="FJ17" s="293">
        <f t="shared" si="38"/>
        <v>0</v>
      </c>
      <c r="FK17" s="293">
        <f t="shared" si="39"/>
        <v>0</v>
      </c>
      <c r="FL17" s="290">
        <f t="shared" si="40"/>
        <v>0</v>
      </c>
      <c r="FM17" s="290">
        <f t="shared" si="41"/>
        <v>0</v>
      </c>
      <c r="FN17" s="293">
        <f t="shared" si="42"/>
        <v>0</v>
      </c>
      <c r="FO17" s="293">
        <f t="shared" si="108"/>
        <v>0</v>
      </c>
      <c r="FP17" s="290">
        <f t="shared" si="43"/>
        <v>0</v>
      </c>
      <c r="FQ17" s="290">
        <f t="shared" si="44"/>
        <v>0</v>
      </c>
      <c r="FR17" s="272">
        <f t="shared" si="45"/>
        <v>0</v>
      </c>
      <c r="FS17" s="294">
        <f t="shared" si="46"/>
        <v>0</v>
      </c>
      <c r="FT17" s="31">
        <f t="shared" si="47"/>
        <v>0</v>
      </c>
      <c r="FU17" s="292">
        <f t="shared" si="48"/>
        <v>0</v>
      </c>
      <c r="FV17" s="288">
        <f t="shared" si="49"/>
        <v>0</v>
      </c>
      <c r="FW17" s="272">
        <f t="shared" si="50"/>
        <v>0</v>
      </c>
      <c r="FX17" s="271">
        <f t="shared" si="93"/>
        <v>0</v>
      </c>
      <c r="FY17" s="272">
        <f t="shared" si="51"/>
        <v>0</v>
      </c>
      <c r="FZ17" s="272">
        <f t="shared" si="52"/>
        <v>0</v>
      </c>
      <c r="GA17" s="290">
        <f t="shared" si="53"/>
        <v>0</v>
      </c>
      <c r="GB17" s="290">
        <f t="shared" si="54"/>
        <v>0</v>
      </c>
      <c r="GC17" s="288">
        <f t="shared" si="55"/>
        <v>0</v>
      </c>
      <c r="GD17" s="272">
        <f t="shared" si="56"/>
        <v>0</v>
      </c>
      <c r="GE17" s="271">
        <f t="shared" si="94"/>
        <v>0</v>
      </c>
      <c r="GF17" s="272">
        <f t="shared" si="57"/>
        <v>0</v>
      </c>
      <c r="GG17" s="272">
        <f t="shared" si="58"/>
        <v>0</v>
      </c>
      <c r="GH17" s="290">
        <f t="shared" si="59"/>
        <v>0</v>
      </c>
      <c r="GI17" s="290">
        <f t="shared" si="60"/>
        <v>0</v>
      </c>
      <c r="GJ17" s="288">
        <f t="shared" si="61"/>
        <v>0</v>
      </c>
      <c r="GK17" s="272">
        <f t="shared" si="62"/>
        <v>0</v>
      </c>
      <c r="GL17" s="271">
        <f t="shared" si="95"/>
        <v>0</v>
      </c>
      <c r="GM17" s="271">
        <f t="shared" si="63"/>
        <v>0</v>
      </c>
      <c r="GN17" s="271">
        <f t="shared" si="64"/>
        <v>0</v>
      </c>
      <c r="GO17" s="290">
        <f t="shared" si="65"/>
        <v>0</v>
      </c>
      <c r="GP17" s="290">
        <f t="shared" si="66"/>
        <v>0</v>
      </c>
      <c r="GQ17" s="271">
        <f t="shared" si="67"/>
        <v>0</v>
      </c>
      <c r="GR17" s="271">
        <f t="shared" si="68"/>
        <v>0</v>
      </c>
      <c r="GS17" s="290">
        <f t="shared" si="69"/>
        <v>0</v>
      </c>
      <c r="GT17" s="290">
        <f t="shared" si="70"/>
        <v>0</v>
      </c>
      <c r="GU17" s="296">
        <f t="shared" si="71"/>
        <v>0</v>
      </c>
      <c r="GV17" s="291">
        <f t="shared" si="72"/>
        <v>0</v>
      </c>
      <c r="GW17" s="30">
        <f t="shared" si="73"/>
        <v>0</v>
      </c>
      <c r="GX17" s="31">
        <f t="shared" si="74"/>
        <v>0</v>
      </c>
      <c r="GY17" s="301">
        <f t="shared" si="75"/>
        <v>0</v>
      </c>
      <c r="GZ17" s="294">
        <f t="shared" si="76"/>
        <v>0</v>
      </c>
      <c r="HA17" s="294">
        <f t="shared" si="77"/>
        <v>0</v>
      </c>
      <c r="HB17" s="31">
        <f t="shared" si="78"/>
        <v>0</v>
      </c>
    </row>
    <row r="18" spans="1:210" ht="24" x14ac:dyDescent="0.55000000000000004">
      <c r="A18" s="4">
        <v>10</v>
      </c>
      <c r="B18" s="26"/>
      <c r="C18" s="26"/>
      <c r="D18" s="26"/>
      <c r="E18" s="26"/>
      <c r="F18" s="26"/>
      <c r="G18" s="26"/>
      <c r="H18" s="4"/>
      <c r="I18" s="5"/>
      <c r="J18" s="7"/>
      <c r="K18" s="28"/>
      <c r="L18" s="28"/>
      <c r="M18" s="4"/>
      <c r="N18" s="5"/>
      <c r="O18" s="7"/>
      <c r="P18" s="193"/>
      <c r="Q18" s="193"/>
      <c r="R18" s="194"/>
      <c r="S18" s="31"/>
      <c r="T18" s="31"/>
      <c r="U18" s="4"/>
      <c r="V18" s="5"/>
      <c r="W18" s="7"/>
      <c r="X18" s="193"/>
      <c r="Y18" s="193"/>
      <c r="Z18" s="193"/>
      <c r="AA18" s="30"/>
      <c r="AB18" s="5"/>
      <c r="AC18" s="7"/>
      <c r="AD18" s="193"/>
      <c r="AE18" s="193"/>
      <c r="AF18" s="193"/>
      <c r="AG18" s="4"/>
      <c r="AH18" s="5"/>
      <c r="AI18" s="7"/>
      <c r="AJ18" s="31"/>
      <c r="AK18" s="28"/>
      <c r="AL18" s="4"/>
      <c r="AM18" s="31"/>
      <c r="AN18" s="7"/>
      <c r="AO18" s="231"/>
      <c r="AP18" s="231"/>
      <c r="AQ18" s="231"/>
      <c r="AR18" s="31"/>
      <c r="AS18" s="31"/>
      <c r="AT18" s="4"/>
      <c r="AU18" s="31"/>
      <c r="AV18" s="7"/>
      <c r="AW18" s="231"/>
      <c r="AX18" s="231"/>
      <c r="AY18" s="231"/>
      <c r="AZ18" s="30"/>
      <c r="BA18" s="31"/>
      <c r="BB18" s="7"/>
      <c r="BC18" s="231"/>
      <c r="BD18" s="231"/>
      <c r="BE18" s="231"/>
      <c r="BF18" s="310">
        <f t="shared" si="111"/>
        <v>0</v>
      </c>
      <c r="BG18" s="310">
        <f t="shared" si="1"/>
        <v>0</v>
      </c>
      <c r="BH18" s="311">
        <f t="shared" si="79"/>
        <v>0</v>
      </c>
      <c r="BI18" s="29"/>
      <c r="BJ18" s="29"/>
      <c r="BK18" s="4"/>
      <c r="BL18" s="5"/>
      <c r="BM18" s="7">
        <f>IF(OR(BI18=0,BL18=0),0,IF(AND(FG18&gt;0,FG18&gt;=DM18,FG18&lt;DN18),BL18-BA18,BL18-BG18))</f>
        <v>0</v>
      </c>
      <c r="BN18" s="197">
        <f t="shared" si="3"/>
        <v>0</v>
      </c>
      <c r="BO18" s="31"/>
      <c r="BP18" s="31"/>
      <c r="BQ18" s="4"/>
      <c r="BR18" s="31"/>
      <c r="BS18" s="7"/>
      <c r="BT18" s="32"/>
      <c r="BU18" s="32"/>
      <c r="BV18" s="32"/>
      <c r="BW18" s="31"/>
      <c r="BX18" s="28"/>
      <c r="BY18" s="4"/>
      <c r="BZ18" s="31"/>
      <c r="CA18" s="7"/>
      <c r="CB18" s="32"/>
      <c r="CC18" s="32"/>
      <c r="CD18" s="32"/>
      <c r="CE18" s="29"/>
      <c r="CF18" s="61" t="str">
        <f t="shared" si="4"/>
        <v>0</v>
      </c>
      <c r="CG18" s="28"/>
      <c r="CH18" s="28"/>
      <c r="CI18" s="30"/>
      <c r="CJ18" s="31"/>
      <c r="CK18" s="7"/>
      <c r="CL18" s="32"/>
      <c r="CM18" s="32"/>
      <c r="CN18" s="32"/>
      <c r="CO18" s="266">
        <f t="shared" si="112"/>
        <v>0</v>
      </c>
      <c r="CP18" s="308">
        <f t="shared" si="113"/>
        <v>0</v>
      </c>
      <c r="CQ18" s="7"/>
      <c r="CR18" s="202"/>
      <c r="CS18" s="4"/>
      <c r="CT18" s="4"/>
      <c r="CU18" s="5"/>
      <c r="CV18" s="7">
        <f t="shared" si="110"/>
        <v>0</v>
      </c>
      <c r="CW18" s="7">
        <f t="shared" si="7"/>
        <v>0</v>
      </c>
      <c r="CX18" s="33">
        <f t="shared" si="81"/>
        <v>0</v>
      </c>
      <c r="CY18" s="34">
        <f t="shared" si="8"/>
        <v>0</v>
      </c>
      <c r="CZ18" s="34">
        <f t="shared" si="9"/>
        <v>0</v>
      </c>
      <c r="DA18" s="235">
        <f t="shared" si="82"/>
        <v>0</v>
      </c>
      <c r="DB18" s="235">
        <f t="shared" si="83"/>
        <v>0</v>
      </c>
      <c r="DC18" s="237">
        <f t="shared" si="84"/>
        <v>0</v>
      </c>
      <c r="DD18" s="237">
        <f t="shared" si="85"/>
        <v>0</v>
      </c>
      <c r="DE18" s="35">
        <f t="shared" si="10"/>
        <v>0</v>
      </c>
      <c r="DF18" s="35">
        <f t="shared" si="11"/>
        <v>0</v>
      </c>
      <c r="DG18" s="236">
        <f t="shared" si="12"/>
        <v>0</v>
      </c>
      <c r="DH18" s="236">
        <f t="shared" si="13"/>
        <v>0</v>
      </c>
      <c r="DI18" s="236">
        <f t="shared" si="86"/>
        <v>0</v>
      </c>
      <c r="DK18" s="6">
        <v>240240</v>
      </c>
      <c r="DL18" s="226">
        <v>240301</v>
      </c>
      <c r="DM18" s="226">
        <v>240391</v>
      </c>
      <c r="DN18" s="226">
        <v>240422</v>
      </c>
      <c r="DO18" s="226">
        <v>240575</v>
      </c>
      <c r="DP18" s="226">
        <v>240605</v>
      </c>
      <c r="DQ18" s="27" t="s">
        <v>46</v>
      </c>
      <c r="DR18" s="27" t="s">
        <v>47</v>
      </c>
      <c r="DS18" s="27" t="s">
        <v>48</v>
      </c>
      <c r="DT18" s="288">
        <f t="shared" si="14"/>
        <v>0</v>
      </c>
      <c r="DU18" s="272">
        <f t="shared" si="15"/>
        <v>0</v>
      </c>
      <c r="DV18" s="271">
        <f t="shared" si="87"/>
        <v>0</v>
      </c>
      <c r="DW18" s="271">
        <f t="shared" si="88"/>
        <v>0</v>
      </c>
      <c r="DX18" s="271">
        <f t="shared" si="89"/>
        <v>0</v>
      </c>
      <c r="DY18" s="307">
        <f t="shared" si="16"/>
        <v>0</v>
      </c>
      <c r="DZ18" s="307">
        <f t="shared" si="17"/>
        <v>0</v>
      </c>
      <c r="EA18" s="288">
        <f t="shared" si="18"/>
        <v>0</v>
      </c>
      <c r="EB18" s="272">
        <f t="shared" si="19"/>
        <v>0</v>
      </c>
      <c r="EC18" s="271">
        <f t="shared" si="20"/>
        <v>0</v>
      </c>
      <c r="ED18" s="272">
        <f t="shared" si="96"/>
        <v>0</v>
      </c>
      <c r="EE18" s="272">
        <f t="shared" si="97"/>
        <v>0</v>
      </c>
      <c r="EF18" s="307">
        <f t="shared" si="21"/>
        <v>0</v>
      </c>
      <c r="EG18" s="307">
        <f t="shared" si="22"/>
        <v>0</v>
      </c>
      <c r="EH18" s="288">
        <f t="shared" si="23"/>
        <v>0</v>
      </c>
      <c r="EI18" s="272">
        <f t="shared" si="24"/>
        <v>0</v>
      </c>
      <c r="EJ18" s="271">
        <f t="shared" si="25"/>
        <v>0</v>
      </c>
      <c r="EK18" s="271">
        <f t="shared" si="98"/>
        <v>0</v>
      </c>
      <c r="EL18" s="271">
        <f t="shared" si="99"/>
        <v>0</v>
      </c>
      <c r="EM18" s="290">
        <f t="shared" si="26"/>
        <v>0</v>
      </c>
      <c r="EN18" s="290">
        <f t="shared" si="27"/>
        <v>0</v>
      </c>
      <c r="EO18" s="271">
        <f t="shared" si="100"/>
        <v>0</v>
      </c>
      <c r="EP18" s="271">
        <f t="shared" si="101"/>
        <v>0</v>
      </c>
      <c r="EQ18" s="290">
        <f t="shared" si="28"/>
        <v>0</v>
      </c>
      <c r="ER18" s="290">
        <f t="shared" si="29"/>
        <v>0</v>
      </c>
      <c r="ES18" s="288">
        <f t="shared" si="30"/>
        <v>0</v>
      </c>
      <c r="ET18" s="272">
        <f t="shared" si="31"/>
        <v>0</v>
      </c>
      <c r="EU18" s="271">
        <f t="shared" si="90"/>
        <v>0</v>
      </c>
      <c r="EV18" s="271">
        <f t="shared" si="102"/>
        <v>0</v>
      </c>
      <c r="EW18" s="271">
        <f t="shared" si="103"/>
        <v>0</v>
      </c>
      <c r="EX18" s="290">
        <f t="shared" si="104"/>
        <v>0</v>
      </c>
      <c r="EY18" s="290">
        <f t="shared" si="105"/>
        <v>0</v>
      </c>
      <c r="EZ18" s="288">
        <f t="shared" si="32"/>
        <v>0</v>
      </c>
      <c r="FA18" s="272">
        <f t="shared" si="33"/>
        <v>0</v>
      </c>
      <c r="FB18" s="271">
        <f t="shared" si="91"/>
        <v>0</v>
      </c>
      <c r="FC18" s="272">
        <f t="shared" si="106"/>
        <v>0</v>
      </c>
      <c r="FD18" s="272">
        <f t="shared" si="107"/>
        <v>0</v>
      </c>
      <c r="FE18" s="290">
        <f t="shared" si="34"/>
        <v>0</v>
      </c>
      <c r="FF18" s="290">
        <f t="shared" si="35"/>
        <v>0</v>
      </c>
      <c r="FG18" s="288">
        <f t="shared" si="36"/>
        <v>0</v>
      </c>
      <c r="FH18" s="272">
        <f t="shared" si="37"/>
        <v>0</v>
      </c>
      <c r="FI18" s="271">
        <f t="shared" si="92"/>
        <v>0</v>
      </c>
      <c r="FJ18" s="293">
        <f t="shared" si="38"/>
        <v>0</v>
      </c>
      <c r="FK18" s="293">
        <f t="shared" si="39"/>
        <v>0</v>
      </c>
      <c r="FL18" s="290">
        <f t="shared" si="40"/>
        <v>0</v>
      </c>
      <c r="FM18" s="290">
        <f t="shared" si="41"/>
        <v>0</v>
      </c>
      <c r="FN18" s="293">
        <f t="shared" si="42"/>
        <v>0</v>
      </c>
      <c r="FO18" s="293">
        <f t="shared" si="108"/>
        <v>0</v>
      </c>
      <c r="FP18" s="290">
        <f t="shared" si="43"/>
        <v>0</v>
      </c>
      <c r="FQ18" s="290">
        <f t="shared" si="44"/>
        <v>0</v>
      </c>
      <c r="FR18" s="272">
        <f t="shared" si="45"/>
        <v>0</v>
      </c>
      <c r="FS18" s="294">
        <f t="shared" si="46"/>
        <v>0</v>
      </c>
      <c r="FT18" s="31">
        <f t="shared" si="47"/>
        <v>0</v>
      </c>
      <c r="FU18" s="292">
        <f t="shared" si="48"/>
        <v>0</v>
      </c>
      <c r="FV18" s="288">
        <f t="shared" si="49"/>
        <v>0</v>
      </c>
      <c r="FW18" s="272">
        <f t="shared" si="50"/>
        <v>0</v>
      </c>
      <c r="FX18" s="271">
        <f t="shared" si="93"/>
        <v>0</v>
      </c>
      <c r="FY18" s="272">
        <f t="shared" si="51"/>
        <v>0</v>
      </c>
      <c r="FZ18" s="272">
        <f t="shared" si="52"/>
        <v>0</v>
      </c>
      <c r="GA18" s="290">
        <f t="shared" si="53"/>
        <v>0</v>
      </c>
      <c r="GB18" s="290">
        <f t="shared" si="54"/>
        <v>0</v>
      </c>
      <c r="GC18" s="288">
        <f t="shared" si="55"/>
        <v>0</v>
      </c>
      <c r="GD18" s="272">
        <f t="shared" si="56"/>
        <v>0</v>
      </c>
      <c r="GE18" s="271">
        <f t="shared" si="94"/>
        <v>0</v>
      </c>
      <c r="GF18" s="272">
        <f t="shared" si="57"/>
        <v>0</v>
      </c>
      <c r="GG18" s="272">
        <f t="shared" si="58"/>
        <v>0</v>
      </c>
      <c r="GH18" s="290">
        <f t="shared" si="59"/>
        <v>0</v>
      </c>
      <c r="GI18" s="290">
        <f t="shared" si="60"/>
        <v>0</v>
      </c>
      <c r="GJ18" s="288">
        <f t="shared" si="61"/>
        <v>0</v>
      </c>
      <c r="GK18" s="272">
        <f t="shared" si="62"/>
        <v>0</v>
      </c>
      <c r="GL18" s="271">
        <f t="shared" si="95"/>
        <v>0</v>
      </c>
      <c r="GM18" s="271">
        <f t="shared" si="63"/>
        <v>0</v>
      </c>
      <c r="GN18" s="271">
        <f t="shared" si="64"/>
        <v>0</v>
      </c>
      <c r="GO18" s="290">
        <f t="shared" si="65"/>
        <v>0</v>
      </c>
      <c r="GP18" s="290">
        <f t="shared" si="66"/>
        <v>0</v>
      </c>
      <c r="GQ18" s="271">
        <f t="shared" si="67"/>
        <v>0</v>
      </c>
      <c r="GR18" s="271">
        <f t="shared" si="68"/>
        <v>0</v>
      </c>
      <c r="GS18" s="290">
        <f t="shared" si="69"/>
        <v>0</v>
      </c>
      <c r="GT18" s="290">
        <f t="shared" si="70"/>
        <v>0</v>
      </c>
      <c r="GU18" s="296">
        <f t="shared" si="71"/>
        <v>0</v>
      </c>
      <c r="GV18" s="291">
        <f t="shared" si="72"/>
        <v>0</v>
      </c>
      <c r="GW18" s="30">
        <f t="shared" si="73"/>
        <v>0</v>
      </c>
      <c r="GX18" s="31">
        <f t="shared" si="74"/>
        <v>0</v>
      </c>
      <c r="GY18" s="301">
        <f t="shared" si="75"/>
        <v>0</v>
      </c>
      <c r="GZ18" s="294">
        <f t="shared" si="76"/>
        <v>0</v>
      </c>
      <c r="HA18" s="294">
        <f t="shared" si="77"/>
        <v>0</v>
      </c>
      <c r="HB18" s="31">
        <f t="shared" si="78"/>
        <v>0</v>
      </c>
    </row>
  </sheetData>
  <mergeCells count="80">
    <mergeCell ref="GY4:HA4"/>
    <mergeCell ref="GY5:HA5"/>
    <mergeCell ref="AG5:AI5"/>
    <mergeCell ref="K4:BE4"/>
    <mergeCell ref="GU5:GX5"/>
    <mergeCell ref="FV4:GX4"/>
    <mergeCell ref="BO5:BV5"/>
    <mergeCell ref="BO4:CN4"/>
    <mergeCell ref="CO5:CQ5"/>
    <mergeCell ref="HB4:HB5"/>
    <mergeCell ref="AJ5:AQ5"/>
    <mergeCell ref="AR5:AY5"/>
    <mergeCell ref="AZ5:BE5"/>
    <mergeCell ref="GJ5:GT5"/>
    <mergeCell ref="BF4:BH4"/>
    <mergeCell ref="CR4:CW4"/>
    <mergeCell ref="DT4:FU4"/>
    <mergeCell ref="FR5:FU5"/>
    <mergeCell ref="DE5:DF5"/>
    <mergeCell ref="CO4:CQ4"/>
    <mergeCell ref="DG5:DI6"/>
    <mergeCell ref="FR6:FS8"/>
    <mergeCell ref="EZ6:FF6"/>
    <mergeCell ref="BI5:BN5"/>
    <mergeCell ref="GC5:GI5"/>
    <mergeCell ref="DC6:DD6"/>
    <mergeCell ref="FV5:GB5"/>
    <mergeCell ref="CR5:CW5"/>
    <mergeCell ref="DE6:DF6"/>
    <mergeCell ref="FN7:FQ7"/>
    <mergeCell ref="DW7:DX7"/>
    <mergeCell ref="DA6:DB6"/>
    <mergeCell ref="DK4:DS5"/>
    <mergeCell ref="FY6:FZ6"/>
    <mergeCell ref="FG6:FQ6"/>
    <mergeCell ref="EV7:EW7"/>
    <mergeCell ref="GA6:GB6"/>
    <mergeCell ref="EK7:EN7"/>
    <mergeCell ref="ES6:EY6"/>
    <mergeCell ref="CL6:CN6"/>
    <mergeCell ref="DT5:ER5"/>
    <mergeCell ref="H5:J5"/>
    <mergeCell ref="BI4:BN4"/>
    <mergeCell ref="K5:R5"/>
    <mergeCell ref="S5:Z5"/>
    <mergeCell ref="DT6:DZ6"/>
    <mergeCell ref="AD6:AF6"/>
    <mergeCell ref="X6:Z6"/>
    <mergeCell ref="AA5:AF5"/>
    <mergeCell ref="DA4:DI4"/>
    <mergeCell ref="DA5:DD5"/>
    <mergeCell ref="CI5:CN5"/>
    <mergeCell ref="BW5:CH5"/>
    <mergeCell ref="BF5:BH5"/>
    <mergeCell ref="P6:R6"/>
    <mergeCell ref="A1:J1"/>
    <mergeCell ref="A4:A8"/>
    <mergeCell ref="B4:B8"/>
    <mergeCell ref="D4:D8"/>
    <mergeCell ref="E4:E8"/>
    <mergeCell ref="H4:J4"/>
    <mergeCell ref="F2:I2"/>
    <mergeCell ref="F4:F8"/>
    <mergeCell ref="C2:D2"/>
    <mergeCell ref="CE6:CH6"/>
    <mergeCell ref="CB6:CD6"/>
    <mergeCell ref="AO6:AQ6"/>
    <mergeCell ref="AW6:AY6"/>
    <mergeCell ref="BC6:BE6"/>
    <mergeCell ref="BT6:BV6"/>
    <mergeCell ref="GU6:GV8"/>
    <mergeCell ref="GJ6:GT6"/>
    <mergeCell ref="GF6:GG6"/>
    <mergeCell ref="EA6:EG6"/>
    <mergeCell ref="GH6:GI6"/>
    <mergeCell ref="GM7:GP7"/>
    <mergeCell ref="FJ7:FM7"/>
    <mergeCell ref="EH6:ER6"/>
    <mergeCell ref="GQ7:GT7"/>
    <mergeCell ref="EO7:ER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dropdown!$B$3:$B$6</xm:f>
          </x14:formula1>
          <xm:sqref>D9:D18</xm:sqref>
        </x14:dataValidation>
        <x14:dataValidation type="list" allowBlank="1" showInputMessage="1" showErrorMessage="1">
          <x14:formula1>
            <xm:f>dropdown!$D$3:$D$7</xm:f>
          </x14:formula1>
          <xm:sqref>T9:T18 AS9:AS18 BP9:BP18</xm:sqref>
        </x14:dataValidation>
        <x14:dataValidation type="list" allowBlank="1" showInputMessage="1" showErrorMessage="1">
          <x14:formula1>
            <xm:f>dropdown!$E$3:$E$10</xm:f>
          </x14:formula1>
          <xm:sqref>CT9:CT18 M9:M18 U9:U18 AL9:AL18 AT9:AT18 BQ9:BQ18 BY9:BY18 BK9:BK18 AG9:AG18 H9:H18</xm:sqref>
        </x14:dataValidation>
        <x14:dataValidation type="list" allowBlank="1" showInputMessage="1" showErrorMessage="1">
          <x14:formula1>
            <xm:f>dropdown!$G$3:$G$6</xm:f>
          </x14:formula1>
          <xm:sqref>CI9:CI18 AA9:AA18</xm:sqref>
        </x14:dataValidation>
        <x14:dataValidation type="list" allowBlank="1" showInputMessage="1" showErrorMessage="1">
          <x14:formula1>
            <xm:f>dropdown!$I$3:$I$4</xm:f>
          </x14:formula1>
          <xm:sqref>Q9:Q18 Y9:Y18 AE9:AE18</xm:sqref>
        </x14:dataValidation>
        <x14:dataValidation type="list" allowBlank="1" showInputMessage="1" showErrorMessage="1">
          <x14:formula1>
            <xm:f>dropdown!$J$3:$J$6</xm:f>
          </x14:formula1>
          <xm:sqref>AP9:AP18 AX9:AX18 BD9:BD18</xm:sqref>
        </x14:dataValidation>
        <x14:dataValidation type="list" allowBlank="1" showInputMessage="1" showErrorMessage="1">
          <x14:formula1>
            <xm:f>dropdown!$K$3:$K$8</xm:f>
          </x14:formula1>
          <xm:sqref>BU9:BU18 CC9:CC18 CM9:CM18</xm:sqref>
        </x14:dataValidation>
        <x14:dataValidation type="list" allowBlank="1" showInputMessage="1" showErrorMessage="1">
          <x14:formula1>
            <xm:f>dropdown!$L$3</xm:f>
          </x14:formula1>
          <xm:sqref>R9:R18 Z9:Z18 AF9:AF18</xm:sqref>
        </x14:dataValidation>
        <x14:dataValidation type="list" allowBlank="1" showInputMessage="1" showErrorMessage="1">
          <x14:formula1>
            <xm:f>dropdown!$M$3:$M$4</xm:f>
          </x14:formula1>
          <xm:sqref>AQ9:AQ18 AY9:AY18 BE9:BE18</xm:sqref>
        </x14:dataValidation>
        <x14:dataValidation type="list" allowBlank="1" showInputMessage="1" showErrorMessage="1">
          <x14:formula1>
            <xm:f>dropdown!$N$3</xm:f>
          </x14:formula1>
          <xm:sqref>BV9:BV18 CD9:CD18 CN9:CN18</xm:sqref>
        </x14:dataValidation>
        <x14:dataValidation type="list" allowBlank="1" showInputMessage="1" showErrorMessage="1">
          <x14:formula1>
            <xm:f>dropdown!$P$3:$P$5</xm:f>
          </x14:formula1>
          <xm:sqref>J9:J18 O9:O18 W9:W18 AC9:AC18 AI9:AI18 AN9:AN18 AV9:AV18 BB9:BB18 CQ9:CQ18 BS9:BS18 CA9:CA18 CK9:CK18</xm:sqref>
        </x14:dataValidation>
        <x14:dataValidation type="list" allowBlank="1" showInputMessage="1" showErrorMessage="1">
          <x14:formula1>
            <xm:f>dropdown!$O$3</xm:f>
          </x14:formula1>
          <xm:sqref>G9:G18</xm:sqref>
        </x14:dataValidation>
        <x14:dataValidation type="list" allowBlank="1" showInputMessage="1" showErrorMessage="1">
          <x14:formula1>
            <xm:f>dropdown!$C$3:$C$6</xm:f>
          </x14:formula1>
          <xm:sqref>L9:L18 AK9:AK18 BX9:BX18</xm:sqref>
        </x14:dataValidation>
        <x14:dataValidation type="list" allowBlank="1" showInputMessage="1" showErrorMessage="1">
          <x14:formula1>
            <xm:f>dropdown!$R$3:$R$5</xm:f>
          </x14:formula1>
          <xm:sqref>BI9:BI18</xm:sqref>
        </x14:dataValidation>
        <x14:dataValidation type="list" allowBlank="1" showInputMessage="1" showErrorMessage="1">
          <x14:formula1>
            <xm:f>dropdown!$S$3:$S$4</xm:f>
          </x14:formula1>
          <xm:sqref>BJ9:BJ18</xm:sqref>
        </x14:dataValidation>
        <x14:dataValidation type="list" allowBlank="1" showInputMessage="1" showErrorMessage="1">
          <x14:formula1>
            <xm:f>dropdown!$R$3:$R$6</xm:f>
          </x14:formula1>
          <xm:sqref>CR9:CR18</xm:sqref>
        </x14:dataValidation>
        <x14:dataValidation type="list" allowBlank="1" showInputMessage="1" showErrorMessage="1">
          <x14:formula1>
            <xm:f>dropdown!$S$3:$S$5</xm:f>
          </x14:formula1>
          <xm:sqref>CS9:CS18</xm:sqref>
        </x14:dataValidation>
        <x14:dataValidation type="list" allowBlank="1" showInputMessage="1" showErrorMessage="1">
          <x14:formula1>
            <xm:f>dropdown!$T$3:$T$5</xm:f>
          </x14:formula1>
          <xm:sqref>CE9:CE18</xm:sqref>
        </x14:dataValidation>
        <x14:dataValidation type="list" allowBlank="1" showInputMessage="1" showErrorMessage="1">
          <x14:formula1>
            <xm:f>dropdown!$G$3:$G$7</xm:f>
          </x14:formula1>
          <xm:sqref>AZ9:AZ18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J16" sqref="J16"/>
    </sheetView>
  </sheetViews>
  <sheetFormatPr defaultRowHeight="14.25" x14ac:dyDescent="0.2"/>
  <cols>
    <col min="1" max="1" width="5.75" customWidth="1"/>
    <col min="2" max="2" width="21.625" customWidth="1"/>
    <col min="3" max="3" width="24.375" customWidth="1"/>
    <col min="4" max="4" width="14.75" customWidth="1"/>
    <col min="5" max="5" width="17.375" customWidth="1"/>
    <col min="6" max="6" width="10.125" customWidth="1"/>
    <col min="7" max="7" width="14.875" customWidth="1"/>
    <col min="8" max="8" width="13.125" bestFit="1" customWidth="1"/>
  </cols>
  <sheetData>
    <row r="1" spans="1:8" ht="23.25" x14ac:dyDescent="0.5">
      <c r="A1" s="393" t="s">
        <v>137</v>
      </c>
      <c r="B1" s="393"/>
      <c r="C1" s="393"/>
      <c r="D1" s="393"/>
      <c r="E1" s="393"/>
      <c r="F1" s="393"/>
      <c r="G1" s="393"/>
      <c r="H1" s="393"/>
    </row>
    <row r="2" spans="1:8" ht="24" x14ac:dyDescent="0.55000000000000004">
      <c r="A2" s="62"/>
      <c r="B2" s="65" t="s">
        <v>76</v>
      </c>
      <c r="C2" s="393"/>
      <c r="D2" s="393"/>
      <c r="E2" s="66" t="s">
        <v>77</v>
      </c>
      <c r="F2" s="393"/>
      <c r="G2" s="393"/>
    </row>
    <row r="3" spans="1:8" ht="24" x14ac:dyDescent="0.55000000000000004">
      <c r="A3" s="466" t="s">
        <v>78</v>
      </c>
      <c r="B3" s="466"/>
      <c r="C3" s="466"/>
      <c r="D3" s="466"/>
      <c r="E3" s="466"/>
      <c r="F3" s="466"/>
      <c r="G3" s="466"/>
    </row>
    <row r="4" spans="1:8" ht="24" x14ac:dyDescent="0.2">
      <c r="A4" s="58" t="s">
        <v>9</v>
      </c>
      <c r="B4" s="58" t="s">
        <v>27</v>
      </c>
      <c r="C4" s="58" t="s">
        <v>28</v>
      </c>
      <c r="D4" s="58" t="s">
        <v>80</v>
      </c>
      <c r="E4" s="60" t="s">
        <v>83</v>
      </c>
      <c r="F4" s="58" t="s">
        <v>81</v>
      </c>
      <c r="G4" s="58" t="s">
        <v>79</v>
      </c>
      <c r="H4" s="267" t="s">
        <v>142</v>
      </c>
    </row>
    <row r="5" spans="1:8" ht="24" x14ac:dyDescent="0.2">
      <c r="A5" s="59"/>
      <c r="B5" s="59"/>
      <c r="C5" s="59"/>
      <c r="D5" s="59"/>
      <c r="E5" s="200" t="s">
        <v>104</v>
      </c>
      <c r="F5" s="59" t="s">
        <v>6</v>
      </c>
      <c r="G5" s="59"/>
      <c r="H5" s="268"/>
    </row>
    <row r="6" spans="1:8" ht="24" x14ac:dyDescent="0.55000000000000004">
      <c r="A6" s="72">
        <v>1</v>
      </c>
      <c r="B6" s="73"/>
      <c r="C6" s="73"/>
      <c r="D6" s="73"/>
      <c r="E6" s="73"/>
      <c r="F6" s="72"/>
      <c r="G6" s="74"/>
      <c r="H6" s="74"/>
    </row>
    <row r="7" spans="1:8" ht="24" x14ac:dyDescent="0.55000000000000004">
      <c r="A7" s="72">
        <v>2</v>
      </c>
      <c r="B7" s="73"/>
      <c r="C7" s="73"/>
      <c r="D7" s="73"/>
      <c r="E7" s="73"/>
      <c r="F7" s="72"/>
      <c r="G7" s="74"/>
      <c r="H7" s="74"/>
    </row>
    <row r="8" spans="1:8" ht="24" x14ac:dyDescent="0.55000000000000004">
      <c r="A8" s="72">
        <v>3</v>
      </c>
      <c r="B8" s="73"/>
      <c r="C8" s="73"/>
      <c r="D8" s="73"/>
      <c r="E8" s="73"/>
      <c r="F8" s="72"/>
      <c r="G8" s="74"/>
      <c r="H8" s="74"/>
    </row>
    <row r="9" spans="1:8" ht="24" x14ac:dyDescent="0.55000000000000004">
      <c r="A9" s="72">
        <v>4</v>
      </c>
      <c r="B9" s="73"/>
      <c r="C9" s="73"/>
      <c r="D9" s="73"/>
      <c r="E9" s="73"/>
      <c r="F9" s="72"/>
      <c r="G9" s="74"/>
      <c r="H9" s="74"/>
    </row>
    <row r="10" spans="1:8" ht="24" x14ac:dyDescent="0.55000000000000004">
      <c r="A10" s="72">
        <v>5</v>
      </c>
      <c r="B10" s="73"/>
      <c r="C10" s="73"/>
      <c r="D10" s="73"/>
      <c r="E10" s="73"/>
      <c r="F10" s="72"/>
      <c r="G10" s="74"/>
      <c r="H10" s="74"/>
    </row>
    <row r="11" spans="1:8" ht="24" x14ac:dyDescent="0.55000000000000004">
      <c r="A11" s="72">
        <v>6</v>
      </c>
      <c r="B11" s="73"/>
      <c r="C11" s="73"/>
      <c r="D11" s="73"/>
      <c r="E11" s="73"/>
      <c r="F11" s="72"/>
      <c r="G11" s="74"/>
      <c r="H11" s="74"/>
    </row>
    <row r="12" spans="1:8" ht="24" x14ac:dyDescent="0.55000000000000004">
      <c r="A12" s="72">
        <v>7</v>
      </c>
      <c r="B12" s="73"/>
      <c r="C12" s="73"/>
      <c r="D12" s="73"/>
      <c r="E12" s="73"/>
      <c r="F12" s="72"/>
      <c r="G12" s="74"/>
      <c r="H12" s="74"/>
    </row>
    <row r="13" spans="1:8" ht="24" x14ac:dyDescent="0.55000000000000004">
      <c r="A13" s="72">
        <v>8</v>
      </c>
      <c r="B13" s="73"/>
      <c r="C13" s="73"/>
      <c r="D13" s="73"/>
      <c r="E13" s="73"/>
      <c r="F13" s="72"/>
      <c r="G13" s="74"/>
      <c r="H13" s="74"/>
    </row>
    <row r="14" spans="1:8" ht="24" x14ac:dyDescent="0.55000000000000004">
      <c r="A14" s="72">
        <v>9</v>
      </c>
      <c r="B14" s="73"/>
      <c r="C14" s="73"/>
      <c r="D14" s="73"/>
      <c r="E14" s="73"/>
      <c r="F14" s="72"/>
      <c r="G14" s="74"/>
      <c r="H14" s="74"/>
    </row>
    <row r="15" spans="1:8" ht="24" x14ac:dyDescent="0.55000000000000004">
      <c r="A15" s="72">
        <v>10</v>
      </c>
      <c r="B15" s="73"/>
      <c r="C15" s="73"/>
      <c r="D15" s="73"/>
      <c r="E15" s="73"/>
      <c r="F15" s="72"/>
      <c r="G15" s="74"/>
      <c r="H15" s="74"/>
    </row>
    <row r="16" spans="1:8" ht="24" x14ac:dyDescent="0.55000000000000004">
      <c r="A16" s="72">
        <v>11</v>
      </c>
      <c r="B16" s="73"/>
      <c r="C16" s="73"/>
      <c r="D16" s="73"/>
      <c r="E16" s="73"/>
      <c r="F16" s="72"/>
      <c r="G16" s="74"/>
      <c r="H16" s="74"/>
    </row>
    <row r="17" spans="1:8" ht="24" x14ac:dyDescent="0.55000000000000004">
      <c r="A17" s="72">
        <v>12</v>
      </c>
      <c r="B17" s="73"/>
      <c r="C17" s="73"/>
      <c r="D17" s="73"/>
      <c r="E17" s="73"/>
      <c r="F17" s="72"/>
      <c r="G17" s="74"/>
      <c r="H17" s="74"/>
    </row>
    <row r="18" spans="1:8" ht="24" x14ac:dyDescent="0.55000000000000004">
      <c r="A18" s="72">
        <v>13</v>
      </c>
      <c r="B18" s="73"/>
      <c r="C18" s="73"/>
      <c r="D18" s="73"/>
      <c r="E18" s="73"/>
      <c r="F18" s="72"/>
      <c r="G18" s="74"/>
      <c r="H18" s="74"/>
    </row>
    <row r="19" spans="1:8" ht="24" x14ac:dyDescent="0.55000000000000004">
      <c r="A19" s="72">
        <v>14</v>
      </c>
      <c r="B19" s="73"/>
      <c r="C19" s="73"/>
      <c r="D19" s="73"/>
      <c r="E19" s="73"/>
      <c r="F19" s="72"/>
      <c r="G19" s="74"/>
      <c r="H19" s="74"/>
    </row>
    <row r="20" spans="1:8" ht="24" x14ac:dyDescent="0.55000000000000004">
      <c r="A20" s="72">
        <v>15</v>
      </c>
      <c r="B20" s="73"/>
      <c r="C20" s="73"/>
      <c r="D20" s="73"/>
      <c r="E20" s="73"/>
      <c r="F20" s="72"/>
      <c r="G20" s="74"/>
      <c r="H20" s="74"/>
    </row>
    <row r="21" spans="1:8" ht="24" x14ac:dyDescent="0.55000000000000004">
      <c r="A21" s="72">
        <v>16</v>
      </c>
      <c r="B21" s="73"/>
      <c r="C21" s="73"/>
      <c r="D21" s="73"/>
      <c r="E21" s="73"/>
      <c r="F21" s="72"/>
      <c r="G21" s="74"/>
      <c r="H21" s="74"/>
    </row>
    <row r="22" spans="1:8" ht="24" x14ac:dyDescent="0.55000000000000004">
      <c r="A22" s="72">
        <v>17</v>
      </c>
      <c r="B22" s="73"/>
      <c r="C22" s="73"/>
      <c r="D22" s="73"/>
      <c r="E22" s="73"/>
      <c r="F22" s="72"/>
      <c r="G22" s="74"/>
      <c r="H22" s="74"/>
    </row>
    <row r="23" spans="1:8" ht="24" x14ac:dyDescent="0.55000000000000004">
      <c r="A23" s="72">
        <v>18</v>
      </c>
      <c r="B23" s="73"/>
      <c r="C23" s="73"/>
      <c r="D23" s="73"/>
      <c r="E23" s="73"/>
      <c r="F23" s="72"/>
      <c r="G23" s="74"/>
      <c r="H23" s="74"/>
    </row>
    <row r="24" spans="1:8" ht="24" x14ac:dyDescent="0.55000000000000004">
      <c r="A24" s="72">
        <v>19</v>
      </c>
      <c r="B24" s="73"/>
      <c r="C24" s="73"/>
      <c r="D24" s="73"/>
      <c r="E24" s="73"/>
      <c r="F24" s="72"/>
      <c r="G24" s="74"/>
      <c r="H24" s="74"/>
    </row>
    <row r="25" spans="1:8" ht="24" x14ac:dyDescent="0.55000000000000004">
      <c r="A25" s="72">
        <v>20</v>
      </c>
      <c r="B25" s="73"/>
      <c r="C25" s="73"/>
      <c r="D25" s="73"/>
      <c r="E25" s="73"/>
      <c r="F25" s="72"/>
      <c r="G25" s="74"/>
      <c r="H25" s="74"/>
    </row>
    <row r="26" spans="1:8" ht="24" x14ac:dyDescent="0.55000000000000004">
      <c r="A26" s="72">
        <v>21</v>
      </c>
      <c r="B26" s="73"/>
      <c r="C26" s="73"/>
      <c r="D26" s="73"/>
      <c r="E26" s="73"/>
      <c r="F26" s="72"/>
      <c r="G26" s="74"/>
      <c r="H26" s="74"/>
    </row>
    <row r="27" spans="1:8" ht="24" x14ac:dyDescent="0.55000000000000004">
      <c r="A27" s="72">
        <v>22</v>
      </c>
      <c r="B27" s="73"/>
      <c r="C27" s="73"/>
      <c r="D27" s="73"/>
      <c r="E27" s="73"/>
      <c r="F27" s="72"/>
      <c r="G27" s="74"/>
      <c r="H27" s="74"/>
    </row>
    <row r="28" spans="1:8" ht="24" x14ac:dyDescent="0.55000000000000004">
      <c r="A28" s="72">
        <v>23</v>
      </c>
      <c r="B28" s="73"/>
      <c r="C28" s="73"/>
      <c r="D28" s="73"/>
      <c r="E28" s="73"/>
      <c r="F28" s="72"/>
      <c r="G28" s="74"/>
      <c r="H28" s="74"/>
    </row>
    <row r="29" spans="1:8" ht="24" x14ac:dyDescent="0.55000000000000004">
      <c r="A29" s="72">
        <v>24</v>
      </c>
      <c r="B29" s="73"/>
      <c r="C29" s="73"/>
      <c r="D29" s="73"/>
      <c r="E29" s="73"/>
      <c r="F29" s="72"/>
      <c r="G29" s="74"/>
      <c r="H29" s="74"/>
    </row>
    <row r="30" spans="1:8" ht="24" x14ac:dyDescent="0.55000000000000004">
      <c r="A30" s="72">
        <v>25</v>
      </c>
      <c r="B30" s="73"/>
      <c r="C30" s="73"/>
      <c r="D30" s="73"/>
      <c r="E30" s="73"/>
      <c r="F30" s="72"/>
      <c r="G30" s="74"/>
      <c r="H30" s="74"/>
    </row>
    <row r="31" spans="1:8" ht="24" x14ac:dyDescent="0.55000000000000004">
      <c r="A31" s="72">
        <v>26</v>
      </c>
      <c r="B31" s="73"/>
      <c r="C31" s="73"/>
      <c r="D31" s="73"/>
      <c r="E31" s="73"/>
      <c r="F31" s="72"/>
      <c r="G31" s="74"/>
      <c r="H31" s="74"/>
    </row>
    <row r="32" spans="1:8" ht="24" x14ac:dyDescent="0.55000000000000004">
      <c r="A32" s="72">
        <v>27</v>
      </c>
      <c r="B32" s="73"/>
      <c r="C32" s="73"/>
      <c r="D32" s="73"/>
      <c r="E32" s="73"/>
      <c r="F32" s="72"/>
      <c r="G32" s="74"/>
      <c r="H32" s="74"/>
    </row>
    <row r="33" spans="1:8" ht="24" x14ac:dyDescent="0.55000000000000004">
      <c r="A33" s="72">
        <v>28</v>
      </c>
      <c r="B33" s="73"/>
      <c r="C33" s="73"/>
      <c r="D33" s="73"/>
      <c r="E33" s="73"/>
      <c r="F33" s="72"/>
      <c r="G33" s="74"/>
      <c r="H33" s="74"/>
    </row>
    <row r="34" spans="1:8" ht="24" x14ac:dyDescent="0.55000000000000004">
      <c r="A34" s="72">
        <v>29</v>
      </c>
      <c r="B34" s="73"/>
      <c r="C34" s="73"/>
      <c r="D34" s="73"/>
      <c r="E34" s="73"/>
      <c r="F34" s="72"/>
      <c r="G34" s="74"/>
      <c r="H34" s="74"/>
    </row>
    <row r="35" spans="1:8" ht="24" x14ac:dyDescent="0.55000000000000004">
      <c r="A35" s="72">
        <v>30</v>
      </c>
      <c r="B35" s="73"/>
      <c r="C35" s="73"/>
      <c r="D35" s="73"/>
      <c r="E35" s="73"/>
      <c r="F35" s="72"/>
      <c r="G35" s="74"/>
      <c r="H35" s="74"/>
    </row>
    <row r="36" spans="1:8" ht="24" x14ac:dyDescent="0.55000000000000004">
      <c r="A36" s="72">
        <v>31</v>
      </c>
      <c r="B36" s="73"/>
      <c r="C36" s="73"/>
      <c r="D36" s="73"/>
      <c r="E36" s="73"/>
      <c r="F36" s="72"/>
      <c r="G36" s="74"/>
      <c r="H36" s="74"/>
    </row>
    <row r="37" spans="1:8" ht="24" x14ac:dyDescent="0.55000000000000004">
      <c r="A37" s="72">
        <v>32</v>
      </c>
      <c r="B37" s="73"/>
      <c r="C37" s="73"/>
      <c r="D37" s="73"/>
      <c r="E37" s="73"/>
      <c r="F37" s="72"/>
      <c r="G37" s="74"/>
      <c r="H37" s="74"/>
    </row>
    <row r="38" spans="1:8" ht="24" x14ac:dyDescent="0.55000000000000004">
      <c r="A38" s="72">
        <v>33</v>
      </c>
      <c r="B38" s="73"/>
      <c r="C38" s="73"/>
      <c r="D38" s="73"/>
      <c r="E38" s="73"/>
      <c r="F38" s="72"/>
      <c r="G38" s="74"/>
      <c r="H38" s="74"/>
    </row>
    <row r="39" spans="1:8" ht="24" x14ac:dyDescent="0.55000000000000004">
      <c r="A39" s="72">
        <v>34</v>
      </c>
      <c r="B39" s="73"/>
      <c r="C39" s="73"/>
      <c r="D39" s="73"/>
      <c r="E39" s="73"/>
      <c r="F39" s="72"/>
      <c r="G39" s="74"/>
      <c r="H39" s="74"/>
    </row>
    <row r="40" spans="1:8" ht="24" x14ac:dyDescent="0.55000000000000004">
      <c r="A40" s="72">
        <v>35</v>
      </c>
      <c r="B40" s="73"/>
      <c r="C40" s="73"/>
      <c r="D40" s="73"/>
      <c r="E40" s="73"/>
      <c r="F40" s="72"/>
      <c r="G40" s="74"/>
      <c r="H40" s="74"/>
    </row>
    <row r="41" spans="1:8" ht="24" x14ac:dyDescent="0.55000000000000004">
      <c r="A41" s="72">
        <v>36</v>
      </c>
      <c r="B41" s="73"/>
      <c r="C41" s="73"/>
      <c r="D41" s="73"/>
      <c r="E41" s="73"/>
      <c r="F41" s="72"/>
      <c r="G41" s="74"/>
      <c r="H41" s="74"/>
    </row>
    <row r="42" spans="1:8" ht="24" x14ac:dyDescent="0.55000000000000004">
      <c r="A42" s="72">
        <v>37</v>
      </c>
      <c r="B42" s="73"/>
      <c r="C42" s="73"/>
      <c r="D42" s="73"/>
      <c r="E42" s="73"/>
      <c r="F42" s="72"/>
      <c r="G42" s="74"/>
      <c r="H42" s="74"/>
    </row>
    <row r="43" spans="1:8" ht="24" x14ac:dyDescent="0.55000000000000004">
      <c r="A43" s="72">
        <v>38</v>
      </c>
      <c r="B43" s="73"/>
      <c r="C43" s="73"/>
      <c r="D43" s="73"/>
      <c r="E43" s="73"/>
      <c r="F43" s="72"/>
      <c r="G43" s="74"/>
      <c r="H43" s="74"/>
    </row>
    <row r="44" spans="1:8" ht="24" x14ac:dyDescent="0.55000000000000004">
      <c r="A44" s="72">
        <v>39</v>
      </c>
      <c r="B44" s="73"/>
      <c r="C44" s="73"/>
      <c r="D44" s="73"/>
      <c r="E44" s="73"/>
      <c r="F44" s="72"/>
      <c r="G44" s="74"/>
      <c r="H44" s="74"/>
    </row>
    <row r="45" spans="1:8" ht="24" x14ac:dyDescent="0.55000000000000004">
      <c r="A45" s="72">
        <v>40</v>
      </c>
      <c r="B45" s="73"/>
      <c r="C45" s="73"/>
      <c r="D45" s="73"/>
      <c r="E45" s="73"/>
      <c r="F45" s="72"/>
      <c r="G45" s="74"/>
      <c r="H45" s="74"/>
    </row>
    <row r="46" spans="1:8" ht="24" x14ac:dyDescent="0.55000000000000004">
      <c r="A46" s="72">
        <v>41</v>
      </c>
      <c r="B46" s="73"/>
      <c r="C46" s="73"/>
      <c r="D46" s="73"/>
      <c r="E46" s="73"/>
      <c r="F46" s="72"/>
      <c r="G46" s="74"/>
      <c r="H46" s="74"/>
    </row>
    <row r="47" spans="1:8" ht="24" x14ac:dyDescent="0.55000000000000004">
      <c r="A47" s="72">
        <v>42</v>
      </c>
      <c r="B47" s="73"/>
      <c r="C47" s="73"/>
      <c r="D47" s="73"/>
      <c r="E47" s="73"/>
      <c r="F47" s="72"/>
      <c r="G47" s="74"/>
      <c r="H47" s="74"/>
    </row>
    <row r="48" spans="1:8" ht="24" x14ac:dyDescent="0.55000000000000004">
      <c r="A48" s="72">
        <v>43</v>
      </c>
      <c r="B48" s="73"/>
      <c r="C48" s="73"/>
      <c r="D48" s="73"/>
      <c r="E48" s="73"/>
      <c r="F48" s="72"/>
      <c r="G48" s="74"/>
      <c r="H48" s="74"/>
    </row>
    <row r="49" spans="1:8" ht="24" x14ac:dyDescent="0.55000000000000004">
      <c r="A49" s="68"/>
      <c r="B49" s="68"/>
      <c r="C49" s="68"/>
      <c r="D49" s="68"/>
      <c r="E49" s="68"/>
      <c r="F49" s="68"/>
      <c r="G49" s="68"/>
      <c r="H49" s="68"/>
    </row>
    <row r="50" spans="1:8" ht="24" x14ac:dyDescent="0.55000000000000004">
      <c r="A50" s="68"/>
      <c r="B50" s="68"/>
      <c r="C50" s="68"/>
      <c r="D50" s="68"/>
      <c r="E50" s="68"/>
      <c r="F50" s="68"/>
      <c r="G50" s="68"/>
      <c r="H50" s="68"/>
    </row>
    <row r="51" spans="1:8" ht="24" x14ac:dyDescent="0.55000000000000004">
      <c r="A51" s="68"/>
      <c r="B51" s="68"/>
      <c r="C51" s="68"/>
      <c r="D51" s="68"/>
      <c r="E51" s="68"/>
      <c r="F51" s="68"/>
      <c r="G51" s="68"/>
      <c r="H51" s="68"/>
    </row>
    <row r="52" spans="1:8" ht="24" x14ac:dyDescent="0.55000000000000004">
      <c r="A52" s="68"/>
      <c r="B52" s="68"/>
      <c r="C52" s="68"/>
      <c r="D52" s="68"/>
      <c r="E52" s="68"/>
      <c r="F52" s="68"/>
      <c r="G52" s="68"/>
      <c r="H52" s="68"/>
    </row>
    <row r="53" spans="1:8" ht="24" x14ac:dyDescent="0.55000000000000004">
      <c r="A53" s="68"/>
      <c r="B53" s="68"/>
      <c r="C53" s="68"/>
      <c r="D53" s="68"/>
      <c r="E53" s="68"/>
      <c r="F53" s="68"/>
      <c r="G53" s="68"/>
      <c r="H53" s="68"/>
    </row>
    <row r="54" spans="1:8" ht="24" x14ac:dyDescent="0.55000000000000004">
      <c r="A54" s="68"/>
      <c r="B54" s="68"/>
      <c r="C54" s="68"/>
      <c r="D54" s="68"/>
      <c r="E54" s="68"/>
      <c r="F54" s="68"/>
      <c r="G54" s="68"/>
      <c r="H54" s="68"/>
    </row>
    <row r="55" spans="1:8" ht="24" x14ac:dyDescent="0.55000000000000004">
      <c r="A55" s="68"/>
      <c r="B55" s="68"/>
      <c r="C55" s="68"/>
      <c r="D55" s="68"/>
      <c r="E55" s="68"/>
      <c r="F55" s="68"/>
      <c r="G55" s="68"/>
      <c r="H55" s="68"/>
    </row>
    <row r="56" spans="1:8" ht="24" x14ac:dyDescent="0.55000000000000004">
      <c r="A56" s="68"/>
      <c r="B56" s="68"/>
      <c r="C56" s="68"/>
      <c r="D56" s="68"/>
      <c r="E56" s="68"/>
      <c r="F56" s="68"/>
      <c r="G56" s="68"/>
      <c r="H56" s="68"/>
    </row>
    <row r="57" spans="1:8" ht="24" x14ac:dyDescent="0.55000000000000004">
      <c r="A57" s="68"/>
      <c r="B57" s="68"/>
      <c r="C57" s="68"/>
      <c r="D57" s="68"/>
      <c r="E57" s="68"/>
      <c r="F57" s="68"/>
      <c r="G57" s="68"/>
      <c r="H57" s="68"/>
    </row>
    <row r="58" spans="1:8" ht="24" x14ac:dyDescent="0.55000000000000004">
      <c r="A58" s="68"/>
      <c r="B58" s="68"/>
      <c r="C58" s="68"/>
      <c r="D58" s="68"/>
      <c r="E58" s="68"/>
      <c r="F58" s="68"/>
      <c r="G58" s="68"/>
      <c r="H58" s="68"/>
    </row>
    <row r="59" spans="1:8" ht="24" x14ac:dyDescent="0.55000000000000004">
      <c r="A59" s="68"/>
      <c r="B59" s="68"/>
      <c r="C59" s="68"/>
      <c r="D59" s="68"/>
      <c r="E59" s="68"/>
      <c r="F59" s="68"/>
      <c r="G59" s="68"/>
      <c r="H59" s="68"/>
    </row>
    <row r="60" spans="1:8" ht="24" x14ac:dyDescent="0.55000000000000004">
      <c r="A60" s="68"/>
      <c r="B60" s="68"/>
      <c r="C60" s="68"/>
      <c r="D60" s="68"/>
      <c r="E60" s="68"/>
      <c r="F60" s="68"/>
      <c r="G60" s="68"/>
      <c r="H60" s="68"/>
    </row>
    <row r="61" spans="1:8" ht="24" x14ac:dyDescent="0.55000000000000004">
      <c r="A61" s="68"/>
      <c r="B61" s="68"/>
      <c r="C61" s="68"/>
      <c r="D61" s="68"/>
      <c r="E61" s="68"/>
      <c r="F61" s="68"/>
      <c r="G61" s="68"/>
      <c r="H61" s="68"/>
    </row>
    <row r="62" spans="1:8" ht="24" x14ac:dyDescent="0.55000000000000004">
      <c r="A62" s="68"/>
      <c r="B62" s="68"/>
      <c r="C62" s="68"/>
      <c r="D62" s="68"/>
      <c r="E62" s="68"/>
      <c r="F62" s="68"/>
      <c r="G62" s="68"/>
      <c r="H62" s="68"/>
    </row>
    <row r="63" spans="1:8" ht="24" x14ac:dyDescent="0.55000000000000004">
      <c r="A63" s="68"/>
      <c r="B63" s="68"/>
      <c r="C63" s="68"/>
      <c r="D63" s="68"/>
      <c r="E63" s="68"/>
      <c r="F63" s="68"/>
      <c r="G63" s="68"/>
      <c r="H63" s="68"/>
    </row>
    <row r="64" spans="1:8" ht="24" x14ac:dyDescent="0.55000000000000004">
      <c r="A64" s="68"/>
      <c r="B64" s="68"/>
      <c r="C64" s="68"/>
      <c r="D64" s="68"/>
      <c r="E64" s="68"/>
      <c r="F64" s="68"/>
      <c r="G64" s="68"/>
      <c r="H64" s="68"/>
    </row>
    <row r="65" spans="1:8" ht="24" x14ac:dyDescent="0.55000000000000004">
      <c r="A65" s="68"/>
      <c r="B65" s="68"/>
      <c r="C65" s="68"/>
      <c r="D65" s="68"/>
      <c r="E65" s="68"/>
      <c r="F65" s="68"/>
      <c r="G65" s="68"/>
      <c r="H65" s="68"/>
    </row>
    <row r="66" spans="1:8" ht="24" x14ac:dyDescent="0.55000000000000004">
      <c r="A66" s="68"/>
      <c r="B66" s="68"/>
      <c r="C66" s="68"/>
      <c r="D66" s="68"/>
      <c r="E66" s="68"/>
      <c r="F66" s="68"/>
      <c r="G66" s="68"/>
      <c r="H66" s="68"/>
    </row>
    <row r="67" spans="1:8" ht="24" x14ac:dyDescent="0.55000000000000004">
      <c r="A67" s="68"/>
      <c r="B67" s="68"/>
      <c r="C67" s="68"/>
      <c r="D67" s="68"/>
      <c r="E67" s="68"/>
      <c r="F67" s="68"/>
      <c r="G67" s="68"/>
      <c r="H67" s="68"/>
    </row>
    <row r="68" spans="1:8" ht="24" x14ac:dyDescent="0.55000000000000004">
      <c r="A68" s="68"/>
      <c r="B68" s="68"/>
      <c r="C68" s="68"/>
      <c r="D68" s="68"/>
      <c r="E68" s="68"/>
      <c r="F68" s="68"/>
      <c r="G68" s="68"/>
      <c r="H68" s="68"/>
    </row>
    <row r="69" spans="1:8" ht="24" x14ac:dyDescent="0.55000000000000004">
      <c r="A69" s="68"/>
      <c r="B69" s="68"/>
      <c r="C69" s="68"/>
      <c r="D69" s="68"/>
      <c r="E69" s="68"/>
      <c r="F69" s="68"/>
      <c r="G69" s="68"/>
      <c r="H69" s="68"/>
    </row>
    <row r="70" spans="1:8" ht="24" x14ac:dyDescent="0.55000000000000004">
      <c r="A70" s="68"/>
      <c r="B70" s="68"/>
      <c r="C70" s="68"/>
      <c r="D70" s="68"/>
      <c r="E70" s="68"/>
      <c r="F70" s="68"/>
      <c r="G70" s="68"/>
      <c r="H70" s="68"/>
    </row>
    <row r="71" spans="1:8" ht="24" x14ac:dyDescent="0.55000000000000004">
      <c r="A71" s="68"/>
      <c r="B71" s="68"/>
      <c r="C71" s="68"/>
      <c r="D71" s="68"/>
      <c r="E71" s="68"/>
      <c r="F71" s="68"/>
      <c r="G71" s="68"/>
      <c r="H71" s="68"/>
    </row>
    <row r="72" spans="1:8" ht="24" x14ac:dyDescent="0.55000000000000004">
      <c r="A72" s="68"/>
      <c r="B72" s="68"/>
      <c r="C72" s="68"/>
      <c r="D72" s="68"/>
      <c r="E72" s="68"/>
      <c r="F72" s="68"/>
      <c r="G72" s="68"/>
      <c r="H72" s="68"/>
    </row>
    <row r="73" spans="1:8" ht="24" x14ac:dyDescent="0.55000000000000004">
      <c r="A73" s="68"/>
      <c r="B73" s="68"/>
      <c r="C73" s="68"/>
      <c r="D73" s="68"/>
      <c r="E73" s="68"/>
      <c r="F73" s="68"/>
      <c r="G73" s="68"/>
      <c r="H73" s="68"/>
    </row>
    <row r="74" spans="1:8" ht="24" x14ac:dyDescent="0.55000000000000004">
      <c r="A74" s="68"/>
      <c r="B74" s="68"/>
      <c r="C74" s="68"/>
      <c r="D74" s="68"/>
      <c r="E74" s="68"/>
      <c r="F74" s="68"/>
      <c r="G74" s="68"/>
      <c r="H74" s="68"/>
    </row>
    <row r="75" spans="1:8" ht="24" x14ac:dyDescent="0.55000000000000004">
      <c r="A75" s="68"/>
      <c r="B75" s="68"/>
      <c r="C75" s="68"/>
      <c r="D75" s="68"/>
      <c r="E75" s="68"/>
      <c r="F75" s="68"/>
      <c r="G75" s="68"/>
      <c r="H75" s="68"/>
    </row>
    <row r="76" spans="1:8" ht="24" x14ac:dyDescent="0.55000000000000004">
      <c r="A76" s="68"/>
      <c r="B76" s="68"/>
      <c r="C76" s="68"/>
      <c r="D76" s="68"/>
      <c r="E76" s="68"/>
      <c r="F76" s="68"/>
      <c r="G76" s="68"/>
      <c r="H76" s="68"/>
    </row>
    <row r="77" spans="1:8" ht="24" x14ac:dyDescent="0.55000000000000004">
      <c r="A77" s="68"/>
      <c r="B77" s="68"/>
      <c r="C77" s="68"/>
      <c r="D77" s="68"/>
      <c r="E77" s="68"/>
      <c r="F77" s="68"/>
      <c r="G77" s="68"/>
      <c r="H77" s="68"/>
    </row>
    <row r="78" spans="1:8" ht="24" x14ac:dyDescent="0.55000000000000004">
      <c r="A78" s="68"/>
      <c r="B78" s="68"/>
      <c r="C78" s="68"/>
      <c r="D78" s="68"/>
      <c r="E78" s="68"/>
      <c r="F78" s="68"/>
      <c r="G78" s="68"/>
      <c r="H78" s="68"/>
    </row>
    <row r="79" spans="1:8" ht="24" x14ac:dyDescent="0.55000000000000004">
      <c r="A79" s="68"/>
      <c r="B79" s="68"/>
      <c r="C79" s="68"/>
      <c r="D79" s="68"/>
      <c r="E79" s="68"/>
      <c r="F79" s="68"/>
      <c r="G79" s="68"/>
      <c r="H79" s="68"/>
    </row>
    <row r="80" spans="1:8" ht="24" x14ac:dyDescent="0.55000000000000004">
      <c r="A80" s="68"/>
      <c r="B80" s="68"/>
      <c r="C80" s="68"/>
      <c r="D80" s="68"/>
      <c r="E80" s="68"/>
      <c r="F80" s="68"/>
      <c r="G80" s="68"/>
      <c r="H80" s="68"/>
    </row>
    <row r="81" spans="1:8" ht="24" x14ac:dyDescent="0.55000000000000004">
      <c r="A81" s="68"/>
      <c r="B81" s="68"/>
      <c r="C81" s="68"/>
      <c r="D81" s="68"/>
      <c r="E81" s="68"/>
      <c r="F81" s="68"/>
      <c r="G81" s="68"/>
      <c r="H81" s="68"/>
    </row>
    <row r="82" spans="1:8" ht="24" x14ac:dyDescent="0.55000000000000004">
      <c r="A82" s="68"/>
      <c r="B82" s="68"/>
      <c r="C82" s="68"/>
      <c r="D82" s="68"/>
      <c r="E82" s="68"/>
      <c r="F82" s="68"/>
      <c r="G82" s="68"/>
      <c r="H82" s="68"/>
    </row>
    <row r="83" spans="1:8" ht="24" x14ac:dyDescent="0.55000000000000004">
      <c r="A83" s="68"/>
      <c r="B83" s="68"/>
      <c r="C83" s="68"/>
      <c r="D83" s="68"/>
      <c r="E83" s="68"/>
      <c r="F83" s="68"/>
      <c r="G83" s="68"/>
      <c r="H83" s="68"/>
    </row>
    <row r="84" spans="1:8" ht="24" x14ac:dyDescent="0.55000000000000004">
      <c r="A84" s="68"/>
      <c r="B84" s="68"/>
      <c r="C84" s="68"/>
      <c r="D84" s="68"/>
      <c r="E84" s="68"/>
      <c r="F84" s="68"/>
      <c r="G84" s="68"/>
      <c r="H84" s="68"/>
    </row>
    <row r="85" spans="1:8" ht="24" x14ac:dyDescent="0.55000000000000004">
      <c r="A85" s="68"/>
      <c r="B85" s="68"/>
      <c r="C85" s="68"/>
      <c r="D85" s="68"/>
      <c r="E85" s="68"/>
      <c r="F85" s="68"/>
      <c r="G85" s="68"/>
      <c r="H85" s="68"/>
    </row>
    <row r="86" spans="1:8" ht="24" x14ac:dyDescent="0.55000000000000004">
      <c r="A86" s="68"/>
      <c r="B86" s="68"/>
      <c r="C86" s="68"/>
      <c r="D86" s="68"/>
      <c r="E86" s="68"/>
      <c r="F86" s="68"/>
      <c r="G86" s="68"/>
      <c r="H86" s="68"/>
    </row>
    <row r="87" spans="1:8" ht="24" x14ac:dyDescent="0.55000000000000004">
      <c r="A87" s="68"/>
      <c r="B87" s="68"/>
      <c r="C87" s="68"/>
      <c r="D87" s="68"/>
      <c r="E87" s="68"/>
      <c r="F87" s="68"/>
      <c r="G87" s="68"/>
      <c r="H87" s="68"/>
    </row>
    <row r="88" spans="1:8" ht="24" x14ac:dyDescent="0.55000000000000004">
      <c r="A88" s="68"/>
      <c r="B88" s="68"/>
      <c r="C88" s="68"/>
      <c r="D88" s="68"/>
      <c r="E88" s="68"/>
      <c r="F88" s="68"/>
      <c r="G88" s="68"/>
      <c r="H88" s="68"/>
    </row>
    <row r="89" spans="1:8" ht="24" x14ac:dyDescent="0.55000000000000004">
      <c r="A89" s="68"/>
      <c r="B89" s="68"/>
      <c r="C89" s="68"/>
      <c r="D89" s="68"/>
      <c r="E89" s="68"/>
      <c r="F89" s="68"/>
      <c r="G89" s="68"/>
      <c r="H89" s="68"/>
    </row>
    <row r="90" spans="1:8" ht="24" x14ac:dyDescent="0.55000000000000004">
      <c r="A90" s="68"/>
      <c r="B90" s="68"/>
      <c r="C90" s="68"/>
      <c r="D90" s="68"/>
      <c r="E90" s="68"/>
      <c r="F90" s="68"/>
      <c r="G90" s="68"/>
      <c r="H90" s="68"/>
    </row>
    <row r="91" spans="1:8" ht="24" x14ac:dyDescent="0.55000000000000004">
      <c r="A91" s="68"/>
      <c r="B91" s="68"/>
      <c r="C91" s="68"/>
      <c r="D91" s="68"/>
      <c r="E91" s="68"/>
      <c r="F91" s="68"/>
      <c r="G91" s="68"/>
      <c r="H91" s="68"/>
    </row>
    <row r="92" spans="1:8" ht="24" x14ac:dyDescent="0.55000000000000004">
      <c r="A92" s="68"/>
      <c r="B92" s="68"/>
      <c r="C92" s="68"/>
      <c r="D92" s="68"/>
      <c r="E92" s="68"/>
      <c r="F92" s="68"/>
      <c r="G92" s="68"/>
      <c r="H92" s="68"/>
    </row>
    <row r="93" spans="1:8" ht="24" x14ac:dyDescent="0.55000000000000004">
      <c r="A93" s="68"/>
      <c r="B93" s="68"/>
      <c r="C93" s="68"/>
      <c r="D93" s="68"/>
      <c r="E93" s="68"/>
      <c r="F93" s="68"/>
      <c r="G93" s="68"/>
      <c r="H93" s="68"/>
    </row>
    <row r="94" spans="1:8" ht="24" x14ac:dyDescent="0.55000000000000004">
      <c r="A94" s="68"/>
      <c r="B94" s="68"/>
      <c r="C94" s="68"/>
      <c r="D94" s="68"/>
      <c r="E94" s="68"/>
      <c r="F94" s="68"/>
      <c r="G94" s="68"/>
      <c r="H94" s="68"/>
    </row>
    <row r="95" spans="1:8" ht="24" x14ac:dyDescent="0.55000000000000004">
      <c r="A95" s="68"/>
      <c r="B95" s="68"/>
      <c r="C95" s="68"/>
      <c r="D95" s="68"/>
      <c r="E95" s="68"/>
      <c r="F95" s="68"/>
      <c r="G95" s="68"/>
      <c r="H95" s="68"/>
    </row>
    <row r="96" spans="1:8" ht="24" x14ac:dyDescent="0.55000000000000004">
      <c r="A96" s="68"/>
      <c r="B96" s="68"/>
      <c r="C96" s="68"/>
      <c r="D96" s="68"/>
      <c r="E96" s="68"/>
      <c r="F96" s="68"/>
      <c r="G96" s="68"/>
      <c r="H96" s="68"/>
    </row>
    <row r="97" spans="1:8" ht="24" x14ac:dyDescent="0.55000000000000004">
      <c r="A97" s="68"/>
      <c r="B97" s="68"/>
      <c r="C97" s="68"/>
      <c r="D97" s="68"/>
      <c r="E97" s="68"/>
      <c r="F97" s="68"/>
      <c r="G97" s="68"/>
      <c r="H97" s="68"/>
    </row>
    <row r="98" spans="1:8" ht="24" x14ac:dyDescent="0.55000000000000004">
      <c r="A98" s="68"/>
      <c r="B98" s="68"/>
      <c r="C98" s="68"/>
      <c r="D98" s="68"/>
      <c r="E98" s="68"/>
      <c r="F98" s="68"/>
      <c r="G98" s="68"/>
      <c r="H98" s="68"/>
    </row>
    <row r="99" spans="1:8" ht="24" x14ac:dyDescent="0.55000000000000004">
      <c r="A99" s="68"/>
      <c r="B99" s="68"/>
      <c r="C99" s="68"/>
      <c r="D99" s="68"/>
      <c r="E99" s="68"/>
      <c r="F99" s="68"/>
      <c r="G99" s="68"/>
      <c r="H99" s="68"/>
    </row>
    <row r="100" spans="1:8" ht="24" x14ac:dyDescent="0.55000000000000004">
      <c r="A100" s="68"/>
      <c r="B100" s="68"/>
      <c r="C100" s="68"/>
      <c r="D100" s="68"/>
      <c r="E100" s="68"/>
      <c r="F100" s="68"/>
      <c r="G100" s="68"/>
      <c r="H100" s="68"/>
    </row>
    <row r="101" spans="1:8" ht="24" x14ac:dyDescent="0.55000000000000004">
      <c r="A101" s="68"/>
      <c r="B101" s="68"/>
      <c r="C101" s="68"/>
      <c r="D101" s="68"/>
      <c r="E101" s="68"/>
      <c r="F101" s="68"/>
      <c r="G101" s="68"/>
      <c r="H101" s="68"/>
    </row>
    <row r="102" spans="1:8" ht="24" x14ac:dyDescent="0.55000000000000004">
      <c r="A102" s="68"/>
      <c r="B102" s="68"/>
      <c r="C102" s="68"/>
      <c r="D102" s="68"/>
      <c r="E102" s="68"/>
      <c r="F102" s="68"/>
      <c r="G102" s="68"/>
      <c r="H102" s="68"/>
    </row>
    <row r="103" spans="1:8" ht="24" x14ac:dyDescent="0.55000000000000004">
      <c r="A103" s="68"/>
      <c r="B103" s="68"/>
      <c r="C103" s="68"/>
      <c r="D103" s="68"/>
      <c r="E103" s="68"/>
      <c r="F103" s="68"/>
      <c r="G103" s="68"/>
      <c r="H103" s="68"/>
    </row>
    <row r="104" spans="1:8" ht="24" x14ac:dyDescent="0.55000000000000004">
      <c r="A104" s="68"/>
      <c r="B104" s="68"/>
      <c r="C104" s="68"/>
      <c r="D104" s="68"/>
      <c r="E104" s="68"/>
      <c r="F104" s="68"/>
      <c r="G104" s="68"/>
      <c r="H104" s="68"/>
    </row>
    <row r="105" spans="1:8" ht="24" x14ac:dyDescent="0.55000000000000004">
      <c r="A105" s="68"/>
      <c r="B105" s="68"/>
      <c r="C105" s="68"/>
      <c r="D105" s="68"/>
      <c r="E105" s="68"/>
      <c r="F105" s="68"/>
      <c r="G105" s="68"/>
      <c r="H105" s="68"/>
    </row>
    <row r="106" spans="1:8" ht="24" x14ac:dyDescent="0.55000000000000004">
      <c r="A106" s="68"/>
      <c r="B106" s="68"/>
      <c r="C106" s="68"/>
      <c r="D106" s="68"/>
      <c r="E106" s="68"/>
      <c r="F106" s="68"/>
      <c r="G106" s="68"/>
      <c r="H106" s="68"/>
    </row>
    <row r="107" spans="1:8" ht="24" x14ac:dyDescent="0.55000000000000004">
      <c r="A107" s="68"/>
      <c r="B107" s="68"/>
      <c r="C107" s="68"/>
      <c r="D107" s="68"/>
      <c r="E107" s="68"/>
      <c r="F107" s="68"/>
      <c r="G107" s="68"/>
      <c r="H107" s="68"/>
    </row>
    <row r="108" spans="1:8" ht="24" x14ac:dyDescent="0.55000000000000004">
      <c r="A108" s="68"/>
      <c r="B108" s="68"/>
      <c r="C108" s="68"/>
      <c r="D108" s="68"/>
      <c r="E108" s="68"/>
      <c r="F108" s="68"/>
      <c r="G108" s="68"/>
      <c r="H108" s="68"/>
    </row>
    <row r="109" spans="1:8" ht="24" x14ac:dyDescent="0.55000000000000004">
      <c r="A109" s="68"/>
      <c r="B109" s="68"/>
      <c r="C109" s="68"/>
      <c r="D109" s="68"/>
      <c r="E109" s="68"/>
      <c r="F109" s="68"/>
      <c r="G109" s="68"/>
      <c r="H109" s="68"/>
    </row>
    <row r="110" spans="1:8" ht="24" x14ac:dyDescent="0.55000000000000004">
      <c r="A110" s="68"/>
      <c r="B110" s="68"/>
      <c r="C110" s="68"/>
      <c r="D110" s="68"/>
      <c r="E110" s="68"/>
      <c r="F110" s="68"/>
      <c r="G110" s="68"/>
      <c r="H110" s="68"/>
    </row>
    <row r="111" spans="1:8" ht="24" x14ac:dyDescent="0.55000000000000004">
      <c r="A111" s="68"/>
      <c r="B111" s="68"/>
      <c r="C111" s="68"/>
      <c r="D111" s="68"/>
      <c r="E111" s="68"/>
      <c r="F111" s="68"/>
      <c r="G111" s="68"/>
      <c r="H111" s="68"/>
    </row>
    <row r="112" spans="1:8" ht="24" x14ac:dyDescent="0.55000000000000004">
      <c r="A112" s="68"/>
      <c r="B112" s="68"/>
      <c r="C112" s="68"/>
      <c r="D112" s="68"/>
      <c r="E112" s="68"/>
      <c r="F112" s="68"/>
      <c r="G112" s="68"/>
      <c r="H112" s="68"/>
    </row>
    <row r="113" spans="1:8" ht="24" x14ac:dyDescent="0.55000000000000004">
      <c r="A113" s="68"/>
      <c r="B113" s="68"/>
      <c r="C113" s="68"/>
      <c r="D113" s="68"/>
      <c r="E113" s="68"/>
      <c r="F113" s="68"/>
      <c r="G113" s="68"/>
      <c r="H113" s="68"/>
    </row>
    <row r="114" spans="1:8" ht="24" x14ac:dyDescent="0.55000000000000004">
      <c r="A114" s="68"/>
      <c r="B114" s="68"/>
      <c r="C114" s="68"/>
      <c r="D114" s="68"/>
      <c r="E114" s="68"/>
      <c r="F114" s="68"/>
      <c r="G114" s="68"/>
      <c r="H114" s="68"/>
    </row>
    <row r="115" spans="1:8" ht="24" x14ac:dyDescent="0.55000000000000004">
      <c r="A115" s="68"/>
      <c r="B115" s="68"/>
      <c r="C115" s="68"/>
      <c r="D115" s="68"/>
      <c r="E115" s="68"/>
      <c r="F115" s="68"/>
      <c r="G115" s="68"/>
      <c r="H115" s="68"/>
    </row>
    <row r="116" spans="1:8" ht="24" x14ac:dyDescent="0.55000000000000004">
      <c r="A116" s="68"/>
      <c r="B116" s="68"/>
      <c r="C116" s="68"/>
      <c r="D116" s="68"/>
      <c r="E116" s="68"/>
      <c r="F116" s="68"/>
      <c r="G116" s="68"/>
      <c r="H116" s="68"/>
    </row>
    <row r="117" spans="1:8" ht="24" x14ac:dyDescent="0.55000000000000004">
      <c r="A117" s="68"/>
      <c r="B117" s="68"/>
      <c r="C117" s="68"/>
      <c r="D117" s="68"/>
      <c r="E117" s="68"/>
      <c r="F117" s="68"/>
      <c r="G117" s="68"/>
      <c r="H117" s="68"/>
    </row>
    <row r="118" spans="1:8" ht="24" x14ac:dyDescent="0.55000000000000004">
      <c r="A118" s="68"/>
      <c r="B118" s="68"/>
      <c r="C118" s="68"/>
      <c r="D118" s="68"/>
      <c r="E118" s="68"/>
      <c r="F118" s="68"/>
      <c r="G118" s="68"/>
      <c r="H118" s="68"/>
    </row>
    <row r="119" spans="1:8" ht="24" x14ac:dyDescent="0.55000000000000004">
      <c r="A119" s="68"/>
      <c r="B119" s="68"/>
      <c r="C119" s="68"/>
      <c r="D119" s="68"/>
      <c r="E119" s="68"/>
      <c r="F119" s="68"/>
      <c r="G119" s="68"/>
      <c r="H119" s="68"/>
    </row>
  </sheetData>
  <protectedRanges>
    <protectedRange sqref="F6:H48" name="Range1_1"/>
  </protectedRanges>
  <mergeCells count="4">
    <mergeCell ref="C2:D2"/>
    <mergeCell ref="A3:G3"/>
    <mergeCell ref="F2:G2"/>
    <mergeCell ref="A1:H1"/>
  </mergeCells>
  <printOptions horizontalCentered="1"/>
  <pageMargins left="0.2" right="0.2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I13" sqref="I13"/>
    </sheetView>
  </sheetViews>
  <sheetFormatPr defaultRowHeight="14.25" x14ac:dyDescent="0.2"/>
  <cols>
    <col min="1" max="1" width="5.75" customWidth="1"/>
    <col min="2" max="2" width="25.625" customWidth="1"/>
    <col min="3" max="3" width="26.875" customWidth="1"/>
    <col min="4" max="4" width="20.875" customWidth="1"/>
    <col min="5" max="5" width="10.375" customWidth="1"/>
    <col min="6" max="6" width="12.75" customWidth="1"/>
    <col min="7" max="7" width="12.125" customWidth="1"/>
  </cols>
  <sheetData>
    <row r="1" spans="1:7" ht="23.25" x14ac:dyDescent="0.5">
      <c r="A1" s="393" t="s">
        <v>103</v>
      </c>
      <c r="B1" s="393"/>
      <c r="C1" s="393"/>
      <c r="D1" s="393"/>
      <c r="E1" s="393"/>
      <c r="F1" s="393"/>
      <c r="G1" s="393"/>
    </row>
    <row r="2" spans="1:7" ht="23.25" x14ac:dyDescent="0.5">
      <c r="A2" s="393" t="s">
        <v>138</v>
      </c>
      <c r="B2" s="393"/>
      <c r="C2" s="393"/>
      <c r="D2" s="393"/>
      <c r="E2" s="393"/>
      <c r="F2" s="393"/>
      <c r="G2" s="393"/>
    </row>
    <row r="3" spans="1:7" ht="24" x14ac:dyDescent="0.55000000000000004">
      <c r="A3" s="62"/>
      <c r="B3" s="65" t="s">
        <v>84</v>
      </c>
      <c r="C3" s="62"/>
      <c r="D3" s="66" t="s">
        <v>77</v>
      </c>
      <c r="E3" s="468"/>
      <c r="F3" s="468"/>
    </row>
    <row r="4" spans="1:7" ht="24" x14ac:dyDescent="0.55000000000000004">
      <c r="A4" s="467" t="s">
        <v>78</v>
      </c>
      <c r="B4" s="467"/>
      <c r="C4" s="467"/>
      <c r="D4" s="467"/>
      <c r="E4" s="467"/>
      <c r="F4" s="467"/>
      <c r="G4" s="467"/>
    </row>
    <row r="5" spans="1:7" ht="24" x14ac:dyDescent="0.2">
      <c r="A5" s="394" t="s">
        <v>9</v>
      </c>
      <c r="B5" s="394" t="s">
        <v>27</v>
      </c>
      <c r="C5" s="394" t="s">
        <v>28</v>
      </c>
      <c r="D5" s="394" t="s">
        <v>80</v>
      </c>
      <c r="E5" s="51" t="s">
        <v>81</v>
      </c>
      <c r="F5" s="49" t="s">
        <v>18</v>
      </c>
      <c r="G5" s="394" t="s">
        <v>61</v>
      </c>
    </row>
    <row r="6" spans="1:7" ht="24" x14ac:dyDescent="0.2">
      <c r="A6" s="396"/>
      <c r="B6" s="396"/>
      <c r="C6" s="396"/>
      <c r="D6" s="396"/>
      <c r="E6" s="52" t="s">
        <v>6</v>
      </c>
      <c r="F6" s="50" t="s">
        <v>82</v>
      </c>
      <c r="G6" s="396"/>
    </row>
    <row r="7" spans="1:7" ht="24" x14ac:dyDescent="0.55000000000000004">
      <c r="A7" s="72">
        <v>1</v>
      </c>
      <c r="B7" s="73"/>
      <c r="C7" s="73"/>
      <c r="D7" s="73"/>
      <c r="E7" s="73"/>
      <c r="F7" s="74"/>
      <c r="G7" s="74"/>
    </row>
    <row r="8" spans="1:7" ht="24" x14ac:dyDescent="0.55000000000000004">
      <c r="A8" s="72">
        <v>2</v>
      </c>
      <c r="B8" s="73"/>
      <c r="C8" s="73"/>
      <c r="D8" s="73"/>
      <c r="E8" s="73"/>
      <c r="F8" s="74"/>
      <c r="G8" s="74"/>
    </row>
    <row r="9" spans="1:7" ht="24" x14ac:dyDescent="0.55000000000000004">
      <c r="A9" s="72">
        <v>3</v>
      </c>
      <c r="B9" s="73"/>
      <c r="C9" s="73"/>
      <c r="D9" s="73"/>
      <c r="E9" s="73"/>
      <c r="F9" s="74"/>
      <c r="G9" s="74"/>
    </row>
    <row r="10" spans="1:7" ht="24" x14ac:dyDescent="0.55000000000000004">
      <c r="A10" s="72">
        <v>4</v>
      </c>
      <c r="B10" s="73"/>
      <c r="C10" s="73"/>
      <c r="D10" s="73"/>
      <c r="E10" s="73"/>
      <c r="F10" s="74"/>
      <c r="G10" s="74"/>
    </row>
    <row r="11" spans="1:7" ht="24" x14ac:dyDescent="0.55000000000000004">
      <c r="A11" s="72">
        <v>5</v>
      </c>
      <c r="B11" s="73"/>
      <c r="C11" s="73"/>
      <c r="D11" s="73"/>
      <c r="E11" s="73"/>
      <c r="F11" s="74"/>
      <c r="G11" s="74"/>
    </row>
    <row r="12" spans="1:7" ht="24" x14ac:dyDescent="0.55000000000000004">
      <c r="A12" s="72">
        <v>6</v>
      </c>
      <c r="B12" s="73"/>
      <c r="C12" s="73"/>
      <c r="D12" s="73"/>
      <c r="E12" s="73"/>
      <c r="F12" s="74"/>
      <c r="G12" s="74"/>
    </row>
    <row r="13" spans="1:7" ht="24" x14ac:dyDescent="0.55000000000000004">
      <c r="A13" s="72">
        <v>7</v>
      </c>
      <c r="B13" s="73"/>
      <c r="C13" s="73"/>
      <c r="D13" s="73"/>
      <c r="E13" s="73"/>
      <c r="F13" s="74"/>
      <c r="G13" s="74"/>
    </row>
    <row r="14" spans="1:7" ht="24" x14ac:dyDescent="0.55000000000000004">
      <c r="A14" s="72">
        <v>8</v>
      </c>
      <c r="B14" s="73"/>
      <c r="C14" s="73"/>
      <c r="D14" s="73"/>
      <c r="E14" s="73"/>
      <c r="F14" s="74"/>
      <c r="G14" s="74"/>
    </row>
    <row r="15" spans="1:7" ht="24" x14ac:dyDescent="0.55000000000000004">
      <c r="A15" s="72">
        <v>9</v>
      </c>
      <c r="B15" s="73"/>
      <c r="C15" s="73"/>
      <c r="D15" s="73"/>
      <c r="E15" s="73"/>
      <c r="F15" s="74"/>
      <c r="G15" s="74"/>
    </row>
    <row r="16" spans="1:7" ht="24" x14ac:dyDescent="0.55000000000000004">
      <c r="A16" s="72">
        <v>10</v>
      </c>
      <c r="B16" s="73"/>
      <c r="C16" s="73"/>
      <c r="D16" s="73"/>
      <c r="E16" s="73"/>
      <c r="F16" s="74"/>
      <c r="G16" s="74"/>
    </row>
    <row r="17" spans="1:7" ht="24" x14ac:dyDescent="0.55000000000000004">
      <c r="A17" s="72">
        <v>11</v>
      </c>
      <c r="B17" s="73"/>
      <c r="C17" s="73"/>
      <c r="D17" s="73"/>
      <c r="E17" s="73"/>
      <c r="F17" s="74"/>
      <c r="G17" s="74"/>
    </row>
    <row r="18" spans="1:7" ht="24" x14ac:dyDescent="0.55000000000000004">
      <c r="A18" s="72">
        <v>12</v>
      </c>
      <c r="B18" s="73"/>
      <c r="C18" s="73"/>
      <c r="D18" s="73"/>
      <c r="E18" s="73"/>
      <c r="F18" s="74"/>
      <c r="G18" s="74"/>
    </row>
    <row r="19" spans="1:7" ht="24" x14ac:dyDescent="0.55000000000000004">
      <c r="A19" s="72">
        <v>13</v>
      </c>
      <c r="B19" s="73"/>
      <c r="C19" s="73"/>
      <c r="D19" s="73"/>
      <c r="E19" s="73"/>
      <c r="F19" s="74"/>
      <c r="G19" s="74"/>
    </row>
    <row r="20" spans="1:7" ht="24" x14ac:dyDescent="0.55000000000000004">
      <c r="A20" s="72">
        <v>14</v>
      </c>
      <c r="B20" s="73"/>
      <c r="C20" s="73"/>
      <c r="D20" s="73"/>
      <c r="E20" s="73"/>
      <c r="F20" s="74"/>
      <c r="G20" s="74"/>
    </row>
    <row r="21" spans="1:7" ht="24" x14ac:dyDescent="0.55000000000000004">
      <c r="A21" s="72">
        <v>15</v>
      </c>
      <c r="B21" s="73"/>
      <c r="C21" s="73"/>
      <c r="D21" s="73"/>
      <c r="E21" s="73"/>
      <c r="F21" s="74"/>
      <c r="G21" s="74"/>
    </row>
    <row r="22" spans="1:7" ht="24" x14ac:dyDescent="0.55000000000000004">
      <c r="A22" s="72">
        <v>16</v>
      </c>
      <c r="B22" s="73"/>
      <c r="C22" s="73"/>
      <c r="D22" s="73"/>
      <c r="E22" s="73"/>
      <c r="F22" s="74"/>
      <c r="G22" s="74"/>
    </row>
    <row r="23" spans="1:7" ht="24" x14ac:dyDescent="0.55000000000000004">
      <c r="A23" s="72">
        <v>17</v>
      </c>
      <c r="B23" s="73"/>
      <c r="C23" s="73"/>
      <c r="D23" s="73"/>
      <c r="E23" s="73"/>
      <c r="F23" s="74"/>
      <c r="G23" s="74"/>
    </row>
    <row r="24" spans="1:7" ht="24" x14ac:dyDescent="0.55000000000000004">
      <c r="A24" s="72">
        <v>18</v>
      </c>
      <c r="B24" s="73"/>
      <c r="C24" s="73"/>
      <c r="D24" s="73"/>
      <c r="E24" s="73"/>
      <c r="F24" s="74"/>
      <c r="G24" s="74"/>
    </row>
    <row r="25" spans="1:7" ht="24" x14ac:dyDescent="0.55000000000000004">
      <c r="A25" s="72">
        <v>19</v>
      </c>
      <c r="B25" s="73"/>
      <c r="C25" s="73"/>
      <c r="D25" s="73"/>
      <c r="E25" s="73"/>
      <c r="F25" s="74"/>
      <c r="G25" s="74"/>
    </row>
    <row r="26" spans="1:7" ht="24" x14ac:dyDescent="0.55000000000000004">
      <c r="A26" s="72">
        <v>20</v>
      </c>
      <c r="B26" s="73"/>
      <c r="C26" s="73"/>
      <c r="D26" s="73"/>
      <c r="E26" s="73"/>
      <c r="F26" s="74"/>
      <c r="G26" s="74"/>
    </row>
    <row r="27" spans="1:7" ht="24" x14ac:dyDescent="0.55000000000000004">
      <c r="A27" s="72">
        <v>21</v>
      </c>
      <c r="B27" s="73"/>
      <c r="C27" s="73"/>
      <c r="D27" s="73"/>
      <c r="E27" s="73"/>
      <c r="F27" s="74"/>
      <c r="G27" s="74"/>
    </row>
    <row r="28" spans="1:7" ht="24" x14ac:dyDescent="0.55000000000000004">
      <c r="A28" s="72">
        <v>22</v>
      </c>
      <c r="B28" s="73"/>
      <c r="C28" s="73"/>
      <c r="D28" s="73"/>
      <c r="E28" s="73"/>
      <c r="F28" s="74"/>
      <c r="G28" s="74"/>
    </row>
    <row r="29" spans="1:7" ht="24" x14ac:dyDescent="0.55000000000000004">
      <c r="A29" s="72">
        <v>23</v>
      </c>
      <c r="B29" s="73"/>
      <c r="C29" s="73"/>
      <c r="D29" s="73"/>
      <c r="E29" s="73"/>
      <c r="F29" s="74"/>
      <c r="G29" s="74"/>
    </row>
    <row r="30" spans="1:7" ht="24" x14ac:dyDescent="0.55000000000000004">
      <c r="A30" s="72">
        <v>24</v>
      </c>
      <c r="B30" s="73"/>
      <c r="C30" s="73"/>
      <c r="D30" s="73"/>
      <c r="E30" s="73"/>
      <c r="F30" s="74"/>
      <c r="G30" s="74"/>
    </row>
    <row r="31" spans="1:7" ht="24" x14ac:dyDescent="0.55000000000000004">
      <c r="A31" s="72">
        <v>25</v>
      </c>
      <c r="B31" s="73"/>
      <c r="C31" s="73"/>
      <c r="D31" s="73"/>
      <c r="E31" s="73"/>
      <c r="F31" s="74"/>
      <c r="G31" s="74"/>
    </row>
    <row r="32" spans="1:7" ht="24" x14ac:dyDescent="0.55000000000000004">
      <c r="A32" s="72">
        <v>26</v>
      </c>
      <c r="B32" s="73"/>
      <c r="C32" s="73"/>
      <c r="D32" s="73"/>
      <c r="E32" s="73"/>
      <c r="F32" s="74"/>
      <c r="G32" s="74"/>
    </row>
    <row r="33" spans="1:7" ht="24" x14ac:dyDescent="0.55000000000000004">
      <c r="A33" s="72">
        <v>27</v>
      </c>
      <c r="B33" s="73"/>
      <c r="C33" s="73"/>
      <c r="D33" s="73"/>
      <c r="E33" s="73"/>
      <c r="F33" s="74"/>
      <c r="G33" s="74"/>
    </row>
    <row r="34" spans="1:7" ht="24" x14ac:dyDescent="0.55000000000000004">
      <c r="A34" s="72">
        <v>28</v>
      </c>
      <c r="B34" s="73"/>
      <c r="C34" s="73"/>
      <c r="D34" s="73"/>
      <c r="E34" s="73"/>
      <c r="F34" s="74"/>
      <c r="G34" s="74"/>
    </row>
    <row r="35" spans="1:7" ht="24" x14ac:dyDescent="0.55000000000000004">
      <c r="A35" s="72">
        <v>29</v>
      </c>
      <c r="B35" s="73"/>
      <c r="C35" s="73"/>
      <c r="D35" s="73"/>
      <c r="E35" s="73"/>
      <c r="F35" s="74"/>
      <c r="G35" s="74"/>
    </row>
    <row r="36" spans="1:7" ht="24" x14ac:dyDescent="0.55000000000000004">
      <c r="A36" s="72">
        <v>30</v>
      </c>
      <c r="B36" s="73"/>
      <c r="C36" s="73"/>
      <c r="D36" s="73"/>
      <c r="E36" s="73"/>
      <c r="F36" s="74"/>
      <c r="G36" s="74"/>
    </row>
    <row r="37" spans="1:7" ht="24" x14ac:dyDescent="0.55000000000000004">
      <c r="A37" s="72">
        <v>31</v>
      </c>
      <c r="B37" s="73"/>
      <c r="C37" s="73"/>
      <c r="D37" s="73"/>
      <c r="E37" s="73"/>
      <c r="F37" s="74"/>
      <c r="G37" s="74"/>
    </row>
    <row r="38" spans="1:7" ht="24" x14ac:dyDescent="0.55000000000000004">
      <c r="A38" s="72">
        <v>32</v>
      </c>
      <c r="B38" s="73"/>
      <c r="C38" s="73"/>
      <c r="D38" s="73"/>
      <c r="E38" s="73"/>
      <c r="F38" s="74"/>
      <c r="G38" s="74"/>
    </row>
    <row r="39" spans="1:7" ht="24" x14ac:dyDescent="0.55000000000000004">
      <c r="A39" s="72">
        <v>33</v>
      </c>
      <c r="B39" s="73"/>
      <c r="C39" s="73"/>
      <c r="D39" s="73"/>
      <c r="E39" s="73"/>
      <c r="F39" s="74"/>
      <c r="G39" s="74"/>
    </row>
    <row r="40" spans="1:7" ht="24" x14ac:dyDescent="0.55000000000000004">
      <c r="A40" s="72">
        <v>34</v>
      </c>
      <c r="B40" s="73"/>
      <c r="C40" s="73"/>
      <c r="D40" s="73"/>
      <c r="E40" s="73"/>
      <c r="F40" s="74"/>
      <c r="G40" s="74"/>
    </row>
    <row r="41" spans="1:7" ht="24" x14ac:dyDescent="0.55000000000000004">
      <c r="A41" s="72">
        <v>35</v>
      </c>
      <c r="B41" s="73"/>
      <c r="C41" s="73"/>
      <c r="D41" s="73"/>
      <c r="E41" s="73"/>
      <c r="F41" s="74"/>
      <c r="G41" s="74"/>
    </row>
    <row r="42" spans="1:7" ht="24" x14ac:dyDescent="0.55000000000000004">
      <c r="A42" s="72">
        <v>36</v>
      </c>
      <c r="B42" s="73"/>
      <c r="C42" s="73"/>
      <c r="D42" s="73"/>
      <c r="E42" s="73"/>
      <c r="F42" s="74"/>
      <c r="G42" s="74"/>
    </row>
    <row r="43" spans="1:7" ht="24" x14ac:dyDescent="0.55000000000000004">
      <c r="A43" s="72">
        <v>37</v>
      </c>
      <c r="B43" s="73"/>
      <c r="C43" s="73"/>
      <c r="D43" s="73"/>
      <c r="E43" s="73"/>
      <c r="F43" s="74"/>
      <c r="G43" s="74"/>
    </row>
    <row r="44" spans="1:7" ht="24" x14ac:dyDescent="0.55000000000000004">
      <c r="A44" s="72">
        <v>38</v>
      </c>
      <c r="B44" s="73"/>
      <c r="C44" s="73"/>
      <c r="D44" s="73"/>
      <c r="E44" s="73"/>
      <c r="F44" s="74"/>
      <c r="G44" s="74"/>
    </row>
    <row r="45" spans="1:7" ht="24" x14ac:dyDescent="0.55000000000000004">
      <c r="A45" s="72">
        <v>39</v>
      </c>
      <c r="B45" s="73"/>
      <c r="C45" s="73"/>
      <c r="D45" s="73"/>
      <c r="E45" s="73"/>
      <c r="F45" s="74"/>
      <c r="G45" s="74"/>
    </row>
    <row r="46" spans="1:7" ht="24" x14ac:dyDescent="0.55000000000000004">
      <c r="A46" s="72">
        <v>40</v>
      </c>
      <c r="B46" s="73"/>
      <c r="C46" s="73"/>
      <c r="D46" s="73"/>
      <c r="E46" s="73"/>
      <c r="F46" s="74"/>
      <c r="G46" s="74"/>
    </row>
    <row r="47" spans="1:7" ht="24" x14ac:dyDescent="0.55000000000000004">
      <c r="A47" s="72">
        <v>41</v>
      </c>
      <c r="B47" s="73"/>
      <c r="C47" s="73"/>
      <c r="D47" s="73"/>
      <c r="E47" s="73"/>
      <c r="F47" s="74"/>
      <c r="G47" s="74"/>
    </row>
    <row r="48" spans="1:7" ht="24" x14ac:dyDescent="0.55000000000000004">
      <c r="A48" s="72">
        <v>42</v>
      </c>
      <c r="B48" s="73"/>
      <c r="C48" s="73"/>
      <c r="D48" s="73"/>
      <c r="E48" s="73"/>
      <c r="F48" s="74"/>
      <c r="G48" s="74"/>
    </row>
    <row r="49" spans="1:7" ht="24" x14ac:dyDescent="0.55000000000000004">
      <c r="A49" s="72">
        <v>43</v>
      </c>
      <c r="B49" s="73"/>
      <c r="C49" s="73"/>
      <c r="D49" s="73"/>
      <c r="E49" s="73"/>
      <c r="F49" s="74"/>
      <c r="G49" s="74"/>
    </row>
    <row r="50" spans="1:7" ht="24" x14ac:dyDescent="0.55000000000000004">
      <c r="A50" s="72">
        <v>44</v>
      </c>
      <c r="B50" s="73"/>
      <c r="C50" s="73"/>
      <c r="D50" s="73"/>
      <c r="E50" s="73"/>
      <c r="F50" s="74"/>
      <c r="G50" s="74"/>
    </row>
    <row r="51" spans="1:7" ht="24" x14ac:dyDescent="0.55000000000000004">
      <c r="A51" s="72">
        <v>45</v>
      </c>
      <c r="B51" s="73"/>
      <c r="C51" s="73"/>
      <c r="D51" s="73"/>
      <c r="E51" s="73"/>
      <c r="F51" s="74"/>
      <c r="G51" s="74"/>
    </row>
    <row r="52" spans="1:7" ht="24" x14ac:dyDescent="0.55000000000000004">
      <c r="A52" s="72">
        <v>46</v>
      </c>
      <c r="B52" s="73"/>
      <c r="C52" s="73"/>
      <c r="D52" s="73"/>
      <c r="E52" s="73"/>
      <c r="F52" s="74"/>
      <c r="G52" s="74"/>
    </row>
    <row r="53" spans="1:7" ht="24" x14ac:dyDescent="0.55000000000000004">
      <c r="A53" s="72">
        <v>47</v>
      </c>
      <c r="B53" s="73"/>
      <c r="C53" s="73"/>
      <c r="D53" s="73"/>
      <c r="E53" s="73"/>
      <c r="F53" s="74"/>
      <c r="G53" s="74"/>
    </row>
    <row r="54" spans="1:7" ht="24" x14ac:dyDescent="0.55000000000000004">
      <c r="A54" s="72">
        <v>48</v>
      </c>
      <c r="B54" s="73"/>
      <c r="C54" s="73"/>
      <c r="D54" s="73"/>
      <c r="E54" s="73"/>
      <c r="F54" s="74"/>
      <c r="G54" s="74"/>
    </row>
    <row r="55" spans="1:7" ht="24" x14ac:dyDescent="0.55000000000000004">
      <c r="A55" s="72">
        <v>49</v>
      </c>
      <c r="B55" s="73"/>
      <c r="C55" s="73"/>
      <c r="D55" s="73"/>
      <c r="E55" s="73"/>
      <c r="F55" s="74"/>
      <c r="G55" s="74"/>
    </row>
    <row r="56" spans="1:7" ht="24" x14ac:dyDescent="0.55000000000000004">
      <c r="A56" s="72">
        <v>50</v>
      </c>
      <c r="B56" s="73"/>
      <c r="C56" s="73"/>
      <c r="D56" s="73"/>
      <c r="E56" s="73"/>
      <c r="F56" s="74"/>
      <c r="G56" s="74"/>
    </row>
    <row r="57" spans="1:7" ht="24" x14ac:dyDescent="0.55000000000000004">
      <c r="A57" s="72">
        <v>51</v>
      </c>
      <c r="B57" s="73"/>
      <c r="C57" s="73"/>
      <c r="D57" s="73"/>
      <c r="E57" s="73"/>
      <c r="F57" s="74"/>
      <c r="G57" s="74"/>
    </row>
    <row r="58" spans="1:7" ht="24" x14ac:dyDescent="0.55000000000000004">
      <c r="A58" s="72">
        <v>52</v>
      </c>
      <c r="B58" s="73"/>
      <c r="C58" s="73"/>
      <c r="D58" s="73"/>
      <c r="E58" s="73"/>
      <c r="F58" s="74"/>
      <c r="G58" s="74"/>
    </row>
    <row r="59" spans="1:7" ht="24" x14ac:dyDescent="0.55000000000000004">
      <c r="A59" s="72">
        <v>53</v>
      </c>
      <c r="B59" s="73"/>
      <c r="C59" s="73"/>
      <c r="D59" s="73"/>
      <c r="E59" s="73"/>
      <c r="F59" s="74"/>
      <c r="G59" s="74"/>
    </row>
    <row r="60" spans="1:7" ht="24" x14ac:dyDescent="0.55000000000000004">
      <c r="A60" s="72">
        <v>54</v>
      </c>
      <c r="B60" s="73"/>
      <c r="C60" s="73"/>
      <c r="D60" s="73"/>
      <c r="E60" s="73"/>
      <c r="F60" s="74"/>
      <c r="G60" s="74"/>
    </row>
    <row r="61" spans="1:7" ht="24" x14ac:dyDescent="0.55000000000000004">
      <c r="A61" s="72">
        <v>55</v>
      </c>
      <c r="B61" s="73"/>
      <c r="C61" s="73"/>
      <c r="D61" s="73"/>
      <c r="E61" s="73"/>
      <c r="F61" s="74"/>
      <c r="G61" s="74"/>
    </row>
  </sheetData>
  <protectedRanges>
    <protectedRange sqref="F7:G61" name="Range1_1"/>
  </protectedRanges>
  <mergeCells count="9">
    <mergeCell ref="G5:G6"/>
    <mergeCell ref="A1:G1"/>
    <mergeCell ref="A2:G2"/>
    <mergeCell ref="A4:G4"/>
    <mergeCell ref="A5:A6"/>
    <mergeCell ref="B5:B6"/>
    <mergeCell ref="C5:C6"/>
    <mergeCell ref="D5:D6"/>
    <mergeCell ref="E3:F3"/>
  </mergeCells>
  <printOptions horizontalCentered="1"/>
  <pageMargins left="0.2" right="0.2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G9" sqref="G9"/>
    </sheetView>
  </sheetViews>
  <sheetFormatPr defaultRowHeight="14.25" x14ac:dyDescent="0.2"/>
  <cols>
    <col min="2" max="2" width="16" bestFit="1" customWidth="1"/>
    <col min="3" max="3" width="10.875" bestFit="1" customWidth="1"/>
    <col min="4" max="4" width="11.625" customWidth="1"/>
    <col min="18" max="18" width="4.625" style="283" customWidth="1"/>
    <col min="19" max="19" width="4.625" customWidth="1"/>
    <col min="20" max="20" width="5.875" customWidth="1"/>
  </cols>
  <sheetData>
    <row r="1" spans="1:28" ht="21.75" x14ac:dyDescent="0.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8" ht="21.75" x14ac:dyDescent="0.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8" ht="21.75" x14ac:dyDescent="0.5">
      <c r="A3" s="42"/>
      <c r="B3" s="304" t="s">
        <v>198</v>
      </c>
      <c r="C3" s="304" t="s">
        <v>217</v>
      </c>
      <c r="D3" s="306" t="s">
        <v>122</v>
      </c>
      <c r="E3" s="304" t="s">
        <v>201</v>
      </c>
      <c r="F3" s="42"/>
      <c r="G3" s="304" t="s">
        <v>89</v>
      </c>
      <c r="H3" s="42"/>
      <c r="I3" s="284" t="s">
        <v>213</v>
      </c>
      <c r="J3" s="284" t="s">
        <v>215</v>
      </c>
      <c r="K3" s="284" t="s">
        <v>207</v>
      </c>
      <c r="L3" s="284">
        <v>2557</v>
      </c>
      <c r="M3" s="284">
        <v>2557</v>
      </c>
      <c r="N3" s="284">
        <v>2558</v>
      </c>
      <c r="O3" s="284" t="s">
        <v>70</v>
      </c>
      <c r="P3" s="304">
        <v>3500</v>
      </c>
      <c r="Q3" s="42"/>
      <c r="R3" s="305">
        <v>0</v>
      </c>
      <c r="S3" s="284">
        <v>2</v>
      </c>
      <c r="T3" s="305">
        <v>0</v>
      </c>
      <c r="U3" s="42"/>
      <c r="V3" s="42"/>
      <c r="W3" s="42"/>
      <c r="X3" s="42"/>
      <c r="Y3" s="42"/>
      <c r="Z3" s="42"/>
      <c r="AA3" s="42"/>
      <c r="AB3" s="42"/>
    </row>
    <row r="4" spans="1:28" ht="21.75" x14ac:dyDescent="0.5">
      <c r="A4" s="42"/>
      <c r="B4" s="304" t="s">
        <v>199</v>
      </c>
      <c r="C4" s="304" t="s">
        <v>121</v>
      </c>
      <c r="D4" s="306" t="s">
        <v>220</v>
      </c>
      <c r="E4" s="304" t="s">
        <v>89</v>
      </c>
      <c r="F4" s="42"/>
      <c r="G4" s="304" t="s">
        <v>88</v>
      </c>
      <c r="H4" s="42"/>
      <c r="I4" s="284" t="s">
        <v>214</v>
      </c>
      <c r="J4" s="284" t="s">
        <v>204</v>
      </c>
      <c r="K4" s="284" t="s">
        <v>208</v>
      </c>
      <c r="L4" s="42"/>
      <c r="M4" s="284">
        <v>2558</v>
      </c>
      <c r="N4" s="42"/>
      <c r="O4" s="42"/>
      <c r="P4" s="304">
        <v>5600</v>
      </c>
      <c r="Q4" s="42"/>
      <c r="R4" s="305">
        <v>0.5</v>
      </c>
      <c r="S4" s="284">
        <v>4</v>
      </c>
      <c r="T4" s="305">
        <v>0.5</v>
      </c>
      <c r="U4" s="42"/>
      <c r="V4" s="42"/>
      <c r="W4" s="42"/>
      <c r="X4" s="42"/>
      <c r="Y4" s="42"/>
      <c r="Z4" s="42"/>
      <c r="AA4" s="42"/>
      <c r="AB4" s="42"/>
    </row>
    <row r="5" spans="1:28" ht="21.75" x14ac:dyDescent="0.5">
      <c r="A5" s="42"/>
      <c r="B5" s="304" t="s">
        <v>200</v>
      </c>
      <c r="C5" s="304" t="s">
        <v>218</v>
      </c>
      <c r="D5" s="306" t="s">
        <v>222</v>
      </c>
      <c r="E5" s="304" t="s">
        <v>202</v>
      </c>
      <c r="F5" s="42"/>
      <c r="G5" s="304" t="s">
        <v>87</v>
      </c>
      <c r="H5" s="42"/>
      <c r="J5" s="284" t="s">
        <v>205</v>
      </c>
      <c r="K5" s="284" t="s">
        <v>209</v>
      </c>
      <c r="L5" s="42"/>
      <c r="M5" s="42"/>
      <c r="N5" s="42"/>
      <c r="O5" s="42"/>
      <c r="P5" s="304">
        <v>9900</v>
      </c>
      <c r="Q5" s="42"/>
      <c r="R5" s="305">
        <v>1</v>
      </c>
      <c r="S5" s="284">
        <v>6</v>
      </c>
      <c r="T5" s="305">
        <v>1</v>
      </c>
      <c r="U5" s="42"/>
      <c r="V5" s="42"/>
      <c r="W5" s="42"/>
      <c r="X5" s="42"/>
      <c r="Y5" s="42"/>
      <c r="Z5" s="42"/>
      <c r="AA5" s="42"/>
      <c r="AB5" s="42"/>
    </row>
    <row r="6" spans="1:28" ht="21.75" x14ac:dyDescent="0.5">
      <c r="A6" s="42"/>
      <c r="B6" s="304" t="s">
        <v>85</v>
      </c>
      <c r="C6" s="304" t="s">
        <v>219</v>
      </c>
      <c r="D6" s="306" t="s">
        <v>218</v>
      </c>
      <c r="E6" s="304" t="s">
        <v>88</v>
      </c>
      <c r="F6" s="42"/>
      <c r="G6" s="304" t="s">
        <v>86</v>
      </c>
      <c r="H6" s="42"/>
      <c r="J6" s="284" t="s">
        <v>206</v>
      </c>
      <c r="K6" s="284" t="s">
        <v>210</v>
      </c>
      <c r="L6" s="42"/>
      <c r="M6" s="42"/>
      <c r="N6" s="42"/>
      <c r="O6" s="42"/>
      <c r="P6" s="42"/>
      <c r="Q6" s="42"/>
      <c r="R6" s="305">
        <v>1.5</v>
      </c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1.75" x14ac:dyDescent="0.5">
      <c r="A7" s="42"/>
      <c r="B7" s="42"/>
      <c r="C7" s="42"/>
      <c r="D7" s="306" t="s">
        <v>221</v>
      </c>
      <c r="E7" s="304" t="s">
        <v>203</v>
      </c>
      <c r="F7" s="42"/>
      <c r="G7" s="304" t="s">
        <v>85</v>
      </c>
      <c r="H7" s="42"/>
      <c r="K7" s="284" t="s">
        <v>211</v>
      </c>
      <c r="L7" s="42"/>
      <c r="M7" s="42"/>
      <c r="N7" s="42"/>
      <c r="O7" s="42"/>
      <c r="P7" s="42"/>
      <c r="Q7" s="42"/>
      <c r="R7" s="286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21.75" x14ac:dyDescent="0.5">
      <c r="A8" s="42"/>
      <c r="B8" s="42"/>
      <c r="C8" s="42"/>
      <c r="D8" s="42"/>
      <c r="E8" s="304" t="s">
        <v>87</v>
      </c>
      <c r="F8" s="42"/>
      <c r="G8" s="42"/>
      <c r="H8" s="42"/>
      <c r="K8" s="284" t="s">
        <v>212</v>
      </c>
      <c r="L8" s="42"/>
      <c r="M8" s="42"/>
      <c r="N8" s="42"/>
      <c r="O8" s="42"/>
      <c r="P8" s="42"/>
      <c r="Q8" s="42"/>
      <c r="R8" s="285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21.75" x14ac:dyDescent="0.5">
      <c r="A9" s="42"/>
      <c r="B9" s="42"/>
      <c r="C9" s="42"/>
      <c r="D9" s="42"/>
      <c r="E9" s="304" t="s">
        <v>86</v>
      </c>
      <c r="F9" s="42"/>
      <c r="G9" s="42"/>
      <c r="H9" s="42"/>
      <c r="K9" s="42"/>
      <c r="L9" s="42"/>
      <c r="M9" s="42"/>
      <c r="N9" s="42"/>
      <c r="O9" s="42"/>
      <c r="P9" s="42"/>
      <c r="Q9" s="42"/>
      <c r="R9" s="285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21.75" x14ac:dyDescent="0.5">
      <c r="A10" s="42"/>
      <c r="B10" s="42"/>
      <c r="C10" s="42"/>
      <c r="D10" s="42"/>
      <c r="E10" s="304" t="s">
        <v>85</v>
      </c>
      <c r="F10" s="42"/>
      <c r="G10" s="42"/>
      <c r="H10" s="42"/>
      <c r="K10" s="42"/>
      <c r="L10" s="42"/>
      <c r="M10" s="42"/>
      <c r="N10" s="42"/>
      <c r="O10" s="42"/>
      <c r="P10" s="42"/>
      <c r="Q10" s="42"/>
      <c r="R10" s="43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21.75" x14ac:dyDescent="0.5">
      <c r="A11" s="42"/>
      <c r="B11" s="42"/>
      <c r="C11" s="42"/>
      <c r="D11" s="42"/>
      <c r="F11" s="42"/>
      <c r="G11" s="42"/>
      <c r="H11" s="42"/>
      <c r="K11" s="42"/>
      <c r="L11" s="42"/>
      <c r="M11" s="42"/>
      <c r="N11" s="42"/>
      <c r="O11" s="42"/>
      <c r="P11" s="42"/>
      <c r="Q11" s="42"/>
      <c r="R11" s="43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21.75" x14ac:dyDescent="0.5">
      <c r="A12" s="42"/>
      <c r="B12" s="42"/>
      <c r="C12" s="42"/>
      <c r="D12" s="42"/>
      <c r="E12" s="42"/>
      <c r="F12" s="42"/>
      <c r="G12" s="42"/>
      <c r="H12" s="42"/>
      <c r="K12" s="42"/>
      <c r="L12" s="42"/>
      <c r="M12" s="42"/>
      <c r="N12" s="42"/>
      <c r="O12" s="42"/>
      <c r="P12" s="42"/>
      <c r="Q12" s="42"/>
      <c r="R12" s="43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21.75" x14ac:dyDescent="0.5">
      <c r="A13" s="42"/>
      <c r="B13" s="42"/>
      <c r="C13" s="42"/>
      <c r="D13" s="42"/>
      <c r="E13" s="42"/>
      <c r="F13" s="42"/>
      <c r="G13" s="42"/>
      <c r="H13" s="42"/>
      <c r="J13" s="42"/>
      <c r="K13" s="42"/>
      <c r="L13" s="42"/>
      <c r="M13" s="42"/>
      <c r="N13" s="42"/>
      <c r="O13" s="42"/>
      <c r="P13" s="42"/>
      <c r="Q13" s="42"/>
      <c r="R13" s="43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21.75" x14ac:dyDescent="0.5">
      <c r="A14" s="42"/>
      <c r="B14" s="42"/>
      <c r="C14" s="42"/>
      <c r="D14" s="42"/>
      <c r="E14" s="42"/>
      <c r="F14" s="42"/>
      <c r="G14" s="42"/>
      <c r="H14" s="42"/>
      <c r="J14" s="42"/>
      <c r="K14" s="42"/>
      <c r="L14" s="42"/>
      <c r="M14" s="42"/>
      <c r="N14" s="42"/>
      <c r="O14" s="42"/>
      <c r="P14" s="42"/>
      <c r="Q14" s="42"/>
      <c r="R14" s="43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21.75" x14ac:dyDescent="0.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21.75" x14ac:dyDescent="0.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21.75" x14ac:dyDescent="0.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21.75" x14ac:dyDescent="0.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21.75" x14ac:dyDescent="0.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21.75" x14ac:dyDescent="0.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21.75" x14ac:dyDescent="0.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21.75" x14ac:dyDescent="0.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21.75" x14ac:dyDescent="0.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21.75" x14ac:dyDescent="0.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21.75" x14ac:dyDescent="0.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21.75" x14ac:dyDescent="0.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ht="21.75" x14ac:dyDescent="0.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ht="21.75" x14ac:dyDescent="0.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ht="21.75" x14ac:dyDescent="0.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ht="21.75" x14ac:dyDescent="0.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21.75" x14ac:dyDescent="0.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ht="21.75" x14ac:dyDescent="0.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21.75" x14ac:dyDescent="0.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21.75" x14ac:dyDescent="0.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ht="21.75" x14ac:dyDescent="0.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ht="21.75" x14ac:dyDescent="0.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21.75" x14ac:dyDescent="0.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21.75" x14ac:dyDescent="0.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21.75" x14ac:dyDescent="0.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21.75" x14ac:dyDescent="0.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21.75" x14ac:dyDescent="0.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93"/>
  <sheetViews>
    <sheetView topLeftCell="A3" workbookViewId="0">
      <pane ySplit="2" topLeftCell="A62" activePane="bottomLeft" state="frozen"/>
      <selection activeCell="A3" sqref="A3"/>
      <selection pane="bottomLeft" activeCell="R78" sqref="R78"/>
    </sheetView>
  </sheetViews>
  <sheetFormatPr defaultRowHeight="14.25" x14ac:dyDescent="0.2"/>
  <cols>
    <col min="1" max="1" width="5" bestFit="1" customWidth="1"/>
    <col min="2" max="2" width="0" hidden="1" customWidth="1"/>
    <col min="6" max="6" width="5" bestFit="1" customWidth="1"/>
    <col min="7" max="7" width="0" hidden="1" customWidth="1"/>
    <col min="11" max="11" width="5" bestFit="1" customWidth="1"/>
    <col min="12" max="12" width="0" hidden="1" customWidth="1"/>
    <col min="16" max="16" width="5" bestFit="1" customWidth="1"/>
    <col min="17" max="17" width="0" hidden="1" customWidth="1"/>
    <col min="21" max="21" width="5" bestFit="1" customWidth="1"/>
    <col min="22" max="22" width="0" hidden="1" customWidth="1"/>
  </cols>
  <sheetData>
    <row r="2" spans="1:25" ht="22.5" x14ac:dyDescent="0.2">
      <c r="V2" s="86"/>
      <c r="W2" s="86"/>
    </row>
    <row r="3" spans="1:25" ht="23.25" x14ac:dyDescent="0.2">
      <c r="A3" s="469" t="s">
        <v>8</v>
      </c>
      <c r="B3" s="474" t="s">
        <v>85</v>
      </c>
      <c r="C3" s="475"/>
      <c r="D3" s="475"/>
      <c r="E3" s="476"/>
      <c r="F3" s="469" t="s">
        <v>8</v>
      </c>
      <c r="G3" s="470" t="s">
        <v>86</v>
      </c>
      <c r="H3" s="471"/>
      <c r="I3" s="471"/>
      <c r="J3" s="472"/>
      <c r="K3" s="469" t="s">
        <v>8</v>
      </c>
      <c r="L3" s="474" t="s">
        <v>87</v>
      </c>
      <c r="M3" s="475"/>
      <c r="N3" s="475"/>
      <c r="O3" s="476"/>
      <c r="P3" s="469" t="s">
        <v>8</v>
      </c>
      <c r="Q3" s="470" t="s">
        <v>88</v>
      </c>
      <c r="R3" s="471"/>
      <c r="S3" s="471"/>
      <c r="T3" s="472"/>
      <c r="U3" s="469" t="s">
        <v>8</v>
      </c>
      <c r="V3" s="470" t="s">
        <v>89</v>
      </c>
      <c r="W3" s="471"/>
      <c r="X3" s="471"/>
      <c r="Y3" s="472"/>
    </row>
    <row r="4" spans="1:25" ht="23.25" x14ac:dyDescent="0.2">
      <c r="A4" s="469"/>
      <c r="B4" s="87" t="s">
        <v>90</v>
      </c>
      <c r="C4" s="87" t="s">
        <v>91</v>
      </c>
      <c r="D4" s="87" t="s">
        <v>25</v>
      </c>
      <c r="E4" s="87" t="s">
        <v>92</v>
      </c>
      <c r="F4" s="469"/>
      <c r="G4" s="87" t="s">
        <v>90</v>
      </c>
      <c r="H4" s="87" t="s">
        <v>91</v>
      </c>
      <c r="I4" s="87" t="s">
        <v>25</v>
      </c>
      <c r="J4" s="87" t="s">
        <v>92</v>
      </c>
      <c r="K4" s="469"/>
      <c r="L4" s="87" t="s">
        <v>90</v>
      </c>
      <c r="M4" s="87" t="s">
        <v>91</v>
      </c>
      <c r="N4" s="87" t="s">
        <v>25</v>
      </c>
      <c r="O4" s="87" t="s">
        <v>92</v>
      </c>
      <c r="P4" s="469"/>
      <c r="Q4" s="87" t="s">
        <v>90</v>
      </c>
      <c r="R4" s="87" t="s">
        <v>91</v>
      </c>
      <c r="S4" s="87" t="s">
        <v>25</v>
      </c>
      <c r="T4" s="87" t="s">
        <v>92</v>
      </c>
      <c r="U4" s="469"/>
      <c r="V4" s="88" t="s">
        <v>90</v>
      </c>
      <c r="W4" s="87" t="s">
        <v>91</v>
      </c>
      <c r="X4" s="87" t="s">
        <v>25</v>
      </c>
      <c r="Y4" s="87" t="s">
        <v>92</v>
      </c>
    </row>
    <row r="5" spans="1:25" ht="23.25" x14ac:dyDescent="0.2">
      <c r="A5" s="89"/>
      <c r="B5" s="90"/>
      <c r="C5" s="90"/>
      <c r="D5" s="90"/>
      <c r="E5" s="90"/>
      <c r="F5" s="89"/>
      <c r="G5" s="90"/>
      <c r="H5" s="90"/>
      <c r="I5" s="90"/>
      <c r="J5" s="90"/>
      <c r="K5" s="89"/>
      <c r="L5" s="90"/>
      <c r="M5" s="90"/>
      <c r="N5" s="90"/>
      <c r="O5" s="90"/>
      <c r="P5" s="89"/>
      <c r="Q5" s="90"/>
      <c r="R5" s="90"/>
      <c r="S5" s="90"/>
      <c r="T5" s="90"/>
      <c r="U5" s="91">
        <v>23</v>
      </c>
      <c r="V5" s="90"/>
      <c r="W5" s="90"/>
      <c r="X5" s="92">
        <v>59770</v>
      </c>
      <c r="Y5" s="93">
        <v>62760</v>
      </c>
    </row>
    <row r="6" spans="1:25" ht="23.25" x14ac:dyDescent="0.2">
      <c r="A6" s="94"/>
      <c r="B6" s="95"/>
      <c r="C6" s="95"/>
      <c r="D6" s="95"/>
      <c r="E6" s="95"/>
      <c r="F6" s="94"/>
      <c r="G6" s="95"/>
      <c r="H6" s="95"/>
      <c r="I6" s="95"/>
      <c r="J6" s="95"/>
      <c r="K6" s="94"/>
      <c r="L6" s="95"/>
      <c r="M6" s="95"/>
      <c r="N6" s="95"/>
      <c r="O6" s="95"/>
      <c r="P6" s="94"/>
      <c r="Q6" s="95"/>
      <c r="R6" s="95"/>
      <c r="S6" s="95"/>
      <c r="T6" s="95"/>
      <c r="U6" s="91">
        <v>22.5</v>
      </c>
      <c r="V6" s="95"/>
      <c r="W6" s="95"/>
      <c r="X6" s="92">
        <v>59140</v>
      </c>
      <c r="Y6" s="93">
        <v>62100</v>
      </c>
    </row>
    <row r="7" spans="1:25" ht="23.25" x14ac:dyDescent="0.2">
      <c r="A7" s="94"/>
      <c r="B7" s="95"/>
      <c r="C7" s="95"/>
      <c r="D7" s="95"/>
      <c r="E7" s="95"/>
      <c r="F7" s="94"/>
      <c r="G7" s="95"/>
      <c r="H7" s="95"/>
      <c r="I7" s="95"/>
      <c r="J7" s="95"/>
      <c r="K7" s="94"/>
      <c r="L7" s="95"/>
      <c r="M7" s="95"/>
      <c r="N7" s="95"/>
      <c r="O7" s="95"/>
      <c r="P7" s="94"/>
      <c r="Q7" s="95"/>
      <c r="R7" s="95"/>
      <c r="S7" s="95"/>
      <c r="T7" s="95"/>
      <c r="U7" s="91">
        <v>22</v>
      </c>
      <c r="V7" s="95"/>
      <c r="W7" s="95"/>
      <c r="X7" s="92">
        <v>58200</v>
      </c>
      <c r="Y7" s="93">
        <v>61110</v>
      </c>
    </row>
    <row r="8" spans="1:25" ht="23.25" x14ac:dyDescent="0.2">
      <c r="A8" s="94"/>
      <c r="B8" s="95"/>
      <c r="C8" s="95"/>
      <c r="D8" s="95"/>
      <c r="E8" s="95"/>
      <c r="F8" s="94"/>
      <c r="G8" s="95"/>
      <c r="H8" s="95"/>
      <c r="I8" s="95"/>
      <c r="J8" s="95"/>
      <c r="K8" s="94"/>
      <c r="L8" s="95"/>
      <c r="M8" s="95"/>
      <c r="N8" s="95"/>
      <c r="O8" s="95"/>
      <c r="P8" s="94"/>
      <c r="Q8" s="95"/>
      <c r="R8" s="95"/>
      <c r="S8" s="95"/>
      <c r="T8" s="95"/>
      <c r="U8" s="91">
        <v>21.5</v>
      </c>
      <c r="V8" s="95"/>
      <c r="W8" s="95"/>
      <c r="X8" s="92">
        <v>57280</v>
      </c>
      <c r="Y8" s="93">
        <v>60150</v>
      </c>
    </row>
    <row r="9" spans="1:25" ht="23.25" x14ac:dyDescent="0.2">
      <c r="A9" s="94"/>
      <c r="B9" s="95"/>
      <c r="C9" s="95"/>
      <c r="D9" s="95"/>
      <c r="E9" s="95"/>
      <c r="F9" s="94"/>
      <c r="G9" s="95"/>
      <c r="H9" s="95"/>
      <c r="I9" s="95"/>
      <c r="J9" s="95"/>
      <c r="K9" s="94"/>
      <c r="L9" s="95"/>
      <c r="M9" s="95"/>
      <c r="N9" s="95"/>
      <c r="O9" s="95"/>
      <c r="P9" s="94"/>
      <c r="Q9" s="95"/>
      <c r="R9" s="95"/>
      <c r="S9" s="95"/>
      <c r="T9" s="95"/>
      <c r="U9" s="91">
        <v>21</v>
      </c>
      <c r="V9" s="95"/>
      <c r="W9" s="95"/>
      <c r="X9" s="92">
        <v>56370</v>
      </c>
      <c r="Y9" s="93">
        <v>59190</v>
      </c>
    </row>
    <row r="10" spans="1:25" ht="23.25" x14ac:dyDescent="0.2">
      <c r="A10" s="94"/>
      <c r="B10" s="95"/>
      <c r="C10" s="95"/>
      <c r="D10" s="95"/>
      <c r="E10" s="95"/>
      <c r="F10" s="94"/>
      <c r="G10" s="95"/>
      <c r="H10" s="95"/>
      <c r="I10" s="95"/>
      <c r="J10" s="95"/>
      <c r="K10" s="94"/>
      <c r="L10" s="95"/>
      <c r="M10" s="95"/>
      <c r="N10" s="95"/>
      <c r="O10" s="95"/>
      <c r="P10" s="96"/>
      <c r="Q10" s="97"/>
      <c r="R10" s="97"/>
      <c r="S10" s="97"/>
      <c r="T10" s="97"/>
      <c r="U10" s="91">
        <v>20.5</v>
      </c>
      <c r="V10" s="97"/>
      <c r="W10" s="97"/>
      <c r="X10" s="92">
        <v>55480</v>
      </c>
      <c r="Y10" s="93">
        <v>58260</v>
      </c>
    </row>
    <row r="11" spans="1:25" ht="23.25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>
        <v>24</v>
      </c>
      <c r="Q11" s="100">
        <v>45620</v>
      </c>
      <c r="R11" s="101">
        <v>47450</v>
      </c>
      <c r="S11" s="102">
        <v>50550</v>
      </c>
      <c r="T11" s="103">
        <v>53080</v>
      </c>
      <c r="U11" s="91">
        <v>20</v>
      </c>
      <c r="V11" s="104">
        <v>48600</v>
      </c>
      <c r="W11" s="105">
        <v>50550</v>
      </c>
      <c r="X11" s="92">
        <v>54600</v>
      </c>
      <c r="Y11" s="93">
        <v>57330</v>
      </c>
    </row>
    <row r="12" spans="1:25" ht="23.25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>
        <v>23.5</v>
      </c>
      <c r="Q12" s="100">
        <v>44870</v>
      </c>
      <c r="R12" s="101">
        <v>46670</v>
      </c>
      <c r="S12" s="102">
        <v>50410</v>
      </c>
      <c r="T12" s="103">
        <v>52940</v>
      </c>
      <c r="U12" s="91">
        <v>19.5</v>
      </c>
      <c r="V12" s="104">
        <v>47850</v>
      </c>
      <c r="W12" s="105">
        <v>49770</v>
      </c>
      <c r="X12" s="92">
        <v>53760</v>
      </c>
      <c r="Y12" s="93">
        <v>56450</v>
      </c>
    </row>
    <row r="13" spans="1:25" ht="23.2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>
        <v>23</v>
      </c>
      <c r="Q13" s="100">
        <v>44130</v>
      </c>
      <c r="R13" s="101">
        <v>45900</v>
      </c>
      <c r="S13" s="102">
        <v>49580</v>
      </c>
      <c r="T13" s="103">
        <v>52060</v>
      </c>
      <c r="U13" s="91">
        <v>19</v>
      </c>
      <c r="V13" s="104">
        <v>47110</v>
      </c>
      <c r="W13" s="105">
        <v>49000</v>
      </c>
      <c r="X13" s="92">
        <v>52920</v>
      </c>
      <c r="Y13" s="93">
        <v>55570</v>
      </c>
    </row>
    <row r="14" spans="1:25" ht="23.25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>
        <v>22.5</v>
      </c>
      <c r="Q14" s="100">
        <v>43380</v>
      </c>
      <c r="R14" s="101">
        <v>45120</v>
      </c>
      <c r="S14" s="102">
        <v>48730</v>
      </c>
      <c r="T14" s="103">
        <v>51170</v>
      </c>
      <c r="U14" s="91">
        <v>18.5</v>
      </c>
      <c r="V14" s="104">
        <v>46360</v>
      </c>
      <c r="W14" s="105">
        <v>48220</v>
      </c>
      <c r="X14" s="92">
        <v>52080</v>
      </c>
      <c r="Y14" s="93">
        <v>54690</v>
      </c>
    </row>
    <row r="15" spans="1:25" ht="23.25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>
        <v>22</v>
      </c>
      <c r="Q15" s="100">
        <v>42630</v>
      </c>
      <c r="R15" s="101">
        <v>44340</v>
      </c>
      <c r="S15" s="102">
        <v>47890</v>
      </c>
      <c r="T15" s="103">
        <v>50290</v>
      </c>
      <c r="U15" s="91">
        <v>18</v>
      </c>
      <c r="V15" s="104">
        <v>45620</v>
      </c>
      <c r="W15" s="105">
        <v>47450</v>
      </c>
      <c r="X15" s="92">
        <v>51250</v>
      </c>
      <c r="Y15" s="93">
        <v>53820</v>
      </c>
    </row>
    <row r="16" spans="1:25" ht="23.25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>
        <v>2.15</v>
      </c>
      <c r="Q16" s="100">
        <v>41890</v>
      </c>
      <c r="R16" s="101">
        <v>43570</v>
      </c>
      <c r="S16" s="102">
        <v>47060</v>
      </c>
      <c r="T16" s="103">
        <v>49420</v>
      </c>
      <c r="U16" s="91">
        <v>17.5</v>
      </c>
      <c r="V16" s="104">
        <v>44870</v>
      </c>
      <c r="W16" s="105">
        <v>46670</v>
      </c>
      <c r="X16" s="92">
        <v>50410</v>
      </c>
      <c r="Y16" s="93">
        <v>52940</v>
      </c>
    </row>
    <row r="17" spans="1:25" ht="23.25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9">
        <v>21</v>
      </c>
      <c r="Q17" s="100">
        <v>41140</v>
      </c>
      <c r="R17" s="101">
        <v>42790</v>
      </c>
      <c r="S17" s="102">
        <v>46220</v>
      </c>
      <c r="T17" s="103">
        <v>48540</v>
      </c>
      <c r="U17" s="91">
        <v>17</v>
      </c>
      <c r="V17" s="104">
        <v>44130</v>
      </c>
      <c r="W17" s="105">
        <v>45900</v>
      </c>
      <c r="X17" s="92">
        <v>49580</v>
      </c>
      <c r="Y17" s="93">
        <v>52060</v>
      </c>
    </row>
    <row r="18" spans="1:25" ht="23.25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>
        <v>20.5</v>
      </c>
      <c r="Q18" s="100">
        <v>40400</v>
      </c>
      <c r="R18" s="101">
        <v>42020</v>
      </c>
      <c r="S18" s="102">
        <v>45390</v>
      </c>
      <c r="T18" s="103">
        <v>47660</v>
      </c>
      <c r="U18" s="91">
        <v>16.5</v>
      </c>
      <c r="V18" s="104">
        <v>43380</v>
      </c>
      <c r="W18" s="105">
        <v>45120</v>
      </c>
      <c r="X18" s="92">
        <v>48730</v>
      </c>
      <c r="Y18" s="93">
        <v>51170</v>
      </c>
    </row>
    <row r="19" spans="1:25" ht="23.25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6"/>
      <c r="M19" s="106"/>
      <c r="N19" s="106"/>
      <c r="O19" s="106"/>
      <c r="P19" s="99">
        <v>20</v>
      </c>
      <c r="Q19" s="100">
        <v>39640</v>
      </c>
      <c r="R19" s="101">
        <v>41230</v>
      </c>
      <c r="S19" s="102">
        <v>44530</v>
      </c>
      <c r="T19" s="103">
        <v>46760</v>
      </c>
      <c r="U19" s="91">
        <v>16</v>
      </c>
      <c r="V19" s="104">
        <v>42630</v>
      </c>
      <c r="W19" s="105">
        <v>44340</v>
      </c>
      <c r="X19" s="92">
        <v>47890</v>
      </c>
      <c r="Y19" s="93">
        <v>50290</v>
      </c>
    </row>
    <row r="20" spans="1:25" ht="23.25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6"/>
      <c r="M20" s="106"/>
      <c r="N20" s="106"/>
      <c r="O20" s="106"/>
      <c r="P20" s="99">
        <v>19.5</v>
      </c>
      <c r="Q20" s="100">
        <v>39020</v>
      </c>
      <c r="R20" s="101">
        <v>40590</v>
      </c>
      <c r="S20" s="102">
        <v>43840</v>
      </c>
      <c r="T20" s="103">
        <v>46040</v>
      </c>
      <c r="U20" s="91">
        <v>15.5</v>
      </c>
      <c r="V20" s="104">
        <v>41890</v>
      </c>
      <c r="W20" s="105">
        <v>43570</v>
      </c>
      <c r="X20" s="92">
        <v>47060</v>
      </c>
      <c r="Y20" s="93">
        <v>49420</v>
      </c>
    </row>
    <row r="21" spans="1:25" ht="23.25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6"/>
      <c r="M21" s="106"/>
      <c r="N21" s="106"/>
      <c r="O21" s="106"/>
      <c r="P21" s="99">
        <v>19</v>
      </c>
      <c r="Q21" s="100">
        <v>38390</v>
      </c>
      <c r="R21" s="101">
        <v>39930</v>
      </c>
      <c r="S21" s="102">
        <v>43130</v>
      </c>
      <c r="T21" s="103">
        <v>45290</v>
      </c>
      <c r="U21" s="91">
        <v>15</v>
      </c>
      <c r="V21" s="104">
        <v>41140</v>
      </c>
      <c r="W21" s="105">
        <v>42790</v>
      </c>
      <c r="X21" s="92">
        <v>46220</v>
      </c>
      <c r="Y21" s="93">
        <v>48540</v>
      </c>
    </row>
    <row r="22" spans="1:25" ht="23.25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106"/>
      <c r="M22" s="106"/>
      <c r="N22" s="106"/>
      <c r="O22" s="106"/>
      <c r="P22" s="99">
        <v>18.5</v>
      </c>
      <c r="Q22" s="100">
        <v>37760</v>
      </c>
      <c r="R22" s="101">
        <v>39280</v>
      </c>
      <c r="S22" s="102">
        <v>42430</v>
      </c>
      <c r="T22" s="103">
        <v>44560</v>
      </c>
      <c r="U22" s="91">
        <v>14.5</v>
      </c>
      <c r="V22" s="104">
        <v>40400</v>
      </c>
      <c r="W22" s="105">
        <v>42020</v>
      </c>
      <c r="X22" s="92">
        <v>45390</v>
      </c>
      <c r="Y22" s="93">
        <v>47660</v>
      </c>
    </row>
    <row r="23" spans="1:25" ht="23.25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106"/>
      <c r="M23" s="106"/>
      <c r="N23" s="106"/>
      <c r="O23" s="106"/>
      <c r="P23" s="99">
        <v>18</v>
      </c>
      <c r="Q23" s="100">
        <v>37130</v>
      </c>
      <c r="R23" s="101">
        <v>38620</v>
      </c>
      <c r="S23" s="102">
        <v>41710</v>
      </c>
      <c r="T23" s="103">
        <v>43800</v>
      </c>
      <c r="U23" s="91">
        <v>14</v>
      </c>
      <c r="V23" s="104">
        <v>39650</v>
      </c>
      <c r="W23" s="105">
        <v>41240</v>
      </c>
      <c r="X23" s="92">
        <v>44540</v>
      </c>
      <c r="Y23" s="93">
        <v>46770</v>
      </c>
    </row>
    <row r="24" spans="1:25" ht="23.25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106"/>
      <c r="M24" s="106"/>
      <c r="N24" s="106"/>
      <c r="O24" s="106"/>
      <c r="P24" s="99">
        <v>17.5</v>
      </c>
      <c r="Q24" s="100">
        <v>36510</v>
      </c>
      <c r="R24" s="101">
        <v>37980</v>
      </c>
      <c r="S24" s="102">
        <v>41020</v>
      </c>
      <c r="T24" s="103">
        <v>43080</v>
      </c>
      <c r="U24" s="91">
        <v>13.5</v>
      </c>
      <c r="V24" s="104">
        <v>38900</v>
      </c>
      <c r="W24" s="105">
        <v>40460</v>
      </c>
      <c r="X24" s="92">
        <v>43700</v>
      </c>
      <c r="Y24" s="93">
        <v>45890</v>
      </c>
    </row>
    <row r="25" spans="1:25" ht="23.25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106"/>
      <c r="M25" s="106"/>
      <c r="N25" s="106"/>
      <c r="O25" s="106"/>
      <c r="P25" s="99">
        <v>17</v>
      </c>
      <c r="Q25" s="100">
        <v>35880</v>
      </c>
      <c r="R25" s="101">
        <v>37320</v>
      </c>
      <c r="S25" s="102">
        <v>40310</v>
      </c>
      <c r="T25" s="103">
        <v>42330</v>
      </c>
      <c r="U25" s="91">
        <v>13</v>
      </c>
      <c r="V25" s="104">
        <v>38150</v>
      </c>
      <c r="W25" s="105">
        <v>39680</v>
      </c>
      <c r="X25" s="92">
        <v>42860</v>
      </c>
      <c r="Y25" s="93">
        <v>45010</v>
      </c>
    </row>
    <row r="26" spans="1:25" ht="23.25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06"/>
      <c r="M26" s="106"/>
      <c r="N26" s="106"/>
      <c r="O26" s="106"/>
      <c r="P26" s="99">
        <v>16.5</v>
      </c>
      <c r="Q26" s="107">
        <v>35250</v>
      </c>
      <c r="R26" s="108">
        <v>36660</v>
      </c>
      <c r="S26" s="109">
        <v>39600</v>
      </c>
      <c r="T26" s="110">
        <v>41580</v>
      </c>
      <c r="U26" s="91">
        <v>12.5</v>
      </c>
      <c r="V26" s="104">
        <v>37440</v>
      </c>
      <c r="W26" s="105">
        <v>38940</v>
      </c>
      <c r="X26" s="92">
        <v>42060</v>
      </c>
      <c r="Y26" s="93">
        <v>44170</v>
      </c>
    </row>
    <row r="27" spans="1:25" ht="23.2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111">
        <v>20</v>
      </c>
      <c r="L27" s="104">
        <v>32250</v>
      </c>
      <c r="M27" s="105">
        <v>33540</v>
      </c>
      <c r="N27" s="112">
        <v>36020</v>
      </c>
      <c r="O27" s="113">
        <v>37830</v>
      </c>
      <c r="P27" s="99">
        <v>16</v>
      </c>
      <c r="Q27" s="100">
        <v>34630</v>
      </c>
      <c r="R27" s="101">
        <v>36020</v>
      </c>
      <c r="S27" s="102">
        <v>38910</v>
      </c>
      <c r="T27" s="103">
        <v>40860</v>
      </c>
      <c r="U27" s="91">
        <v>12</v>
      </c>
      <c r="V27" s="104">
        <v>36720</v>
      </c>
      <c r="W27" s="105">
        <v>38190</v>
      </c>
      <c r="X27" s="92">
        <v>41250</v>
      </c>
      <c r="Y27" s="93">
        <v>43320</v>
      </c>
    </row>
    <row r="28" spans="1:25" ht="23.25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111">
        <v>19.5</v>
      </c>
      <c r="L28" s="104">
        <v>31750</v>
      </c>
      <c r="M28" s="105">
        <v>33020</v>
      </c>
      <c r="N28" s="112">
        <v>35670</v>
      </c>
      <c r="O28" s="113">
        <v>37460</v>
      </c>
      <c r="P28" s="99">
        <v>15.5</v>
      </c>
      <c r="Q28" s="100">
        <v>34000</v>
      </c>
      <c r="R28" s="101">
        <v>35360</v>
      </c>
      <c r="S28" s="102">
        <v>38190</v>
      </c>
      <c r="T28" s="103">
        <v>40100</v>
      </c>
      <c r="U28" s="91">
        <v>11.5</v>
      </c>
      <c r="V28" s="104">
        <v>36030</v>
      </c>
      <c r="W28" s="105">
        <v>37480</v>
      </c>
      <c r="X28" s="92">
        <v>40480</v>
      </c>
      <c r="Y28" s="93">
        <v>42510</v>
      </c>
    </row>
    <row r="29" spans="1:25" ht="23.25" x14ac:dyDescent="0.2">
      <c r="A29" s="98"/>
      <c r="B29" s="98"/>
      <c r="C29" s="98"/>
      <c r="D29" s="98"/>
      <c r="E29" s="98"/>
      <c r="F29" s="98"/>
      <c r="G29" s="106"/>
      <c r="H29" s="106"/>
      <c r="I29" s="106"/>
      <c r="J29" s="106"/>
      <c r="K29" s="111">
        <v>19</v>
      </c>
      <c r="L29" s="104">
        <v>31230</v>
      </c>
      <c r="M29" s="105">
        <v>32480</v>
      </c>
      <c r="N29" s="112">
        <v>35080</v>
      </c>
      <c r="O29" s="113">
        <v>36840</v>
      </c>
      <c r="P29" s="99">
        <v>15</v>
      </c>
      <c r="Q29" s="100">
        <v>33370</v>
      </c>
      <c r="R29" s="101">
        <v>34710</v>
      </c>
      <c r="S29" s="102">
        <v>37490</v>
      </c>
      <c r="T29" s="103">
        <v>39370</v>
      </c>
      <c r="U29" s="91">
        <v>11</v>
      </c>
      <c r="V29" s="104">
        <v>35360</v>
      </c>
      <c r="W29" s="105">
        <v>36780</v>
      </c>
      <c r="X29" s="92">
        <v>39730</v>
      </c>
      <c r="Y29" s="93">
        <v>41720</v>
      </c>
    </row>
    <row r="30" spans="1:25" ht="23.25" x14ac:dyDescent="0.2">
      <c r="A30" s="98"/>
      <c r="B30" s="98"/>
      <c r="C30" s="98"/>
      <c r="D30" s="98"/>
      <c r="E30" s="98"/>
      <c r="F30" s="98"/>
      <c r="G30" s="106"/>
      <c r="H30" s="106"/>
      <c r="I30" s="106"/>
      <c r="J30" s="106"/>
      <c r="K30" s="111">
        <v>18.5</v>
      </c>
      <c r="L30" s="104">
        <v>30730</v>
      </c>
      <c r="M30" s="105">
        <v>31960</v>
      </c>
      <c r="N30" s="112">
        <v>34520</v>
      </c>
      <c r="O30" s="113">
        <v>36250</v>
      </c>
      <c r="P30" s="99">
        <v>14.5</v>
      </c>
      <c r="Q30" s="100">
        <v>32740</v>
      </c>
      <c r="R30" s="101">
        <v>34050</v>
      </c>
      <c r="S30" s="102">
        <v>36780</v>
      </c>
      <c r="T30" s="103">
        <v>38620</v>
      </c>
      <c r="U30" s="91">
        <v>10.5</v>
      </c>
      <c r="V30" s="104">
        <v>34680</v>
      </c>
      <c r="W30" s="105">
        <v>36070</v>
      </c>
      <c r="X30" s="92">
        <v>38960</v>
      </c>
      <c r="Y30" s="93">
        <v>40910</v>
      </c>
    </row>
    <row r="31" spans="1:25" ht="23.25" x14ac:dyDescent="0.2">
      <c r="A31" s="98"/>
      <c r="B31" s="98"/>
      <c r="C31" s="98"/>
      <c r="D31" s="98"/>
      <c r="E31" s="98"/>
      <c r="F31" s="98"/>
      <c r="G31" s="106"/>
      <c r="H31" s="106"/>
      <c r="I31" s="106"/>
      <c r="J31" s="106"/>
      <c r="K31" s="111">
        <v>18</v>
      </c>
      <c r="L31" s="104">
        <v>30210</v>
      </c>
      <c r="M31" s="105">
        <v>31420</v>
      </c>
      <c r="N31" s="112">
        <v>33940</v>
      </c>
      <c r="O31" s="113">
        <v>35640</v>
      </c>
      <c r="P31" s="99">
        <v>14</v>
      </c>
      <c r="Q31" s="100">
        <v>32120</v>
      </c>
      <c r="R31" s="101">
        <v>33410</v>
      </c>
      <c r="S31" s="102">
        <v>36090</v>
      </c>
      <c r="T31" s="103">
        <v>37900</v>
      </c>
      <c r="U31" s="91">
        <v>10</v>
      </c>
      <c r="V31" s="104">
        <v>33990</v>
      </c>
      <c r="W31" s="105">
        <v>35350</v>
      </c>
      <c r="X31" s="92">
        <v>38180</v>
      </c>
      <c r="Y31" s="93">
        <v>40090</v>
      </c>
    </row>
    <row r="32" spans="1:25" ht="23.25" x14ac:dyDescent="0.2">
      <c r="A32" s="98"/>
      <c r="B32" s="98"/>
      <c r="C32" s="98"/>
      <c r="D32" s="98"/>
      <c r="E32" s="98"/>
      <c r="F32" s="98"/>
      <c r="G32" s="106"/>
      <c r="H32" s="106"/>
      <c r="I32" s="106"/>
      <c r="J32" s="106"/>
      <c r="K32" s="111">
        <v>17.5</v>
      </c>
      <c r="L32" s="104">
        <v>29710</v>
      </c>
      <c r="M32" s="105">
        <v>30900</v>
      </c>
      <c r="N32" s="112">
        <v>33380</v>
      </c>
      <c r="O32" s="113">
        <v>35050</v>
      </c>
      <c r="P32" s="99">
        <v>13.5</v>
      </c>
      <c r="Q32" s="100">
        <v>31520</v>
      </c>
      <c r="R32" s="101">
        <v>32790</v>
      </c>
      <c r="S32" s="102">
        <v>35420</v>
      </c>
      <c r="T32" s="103">
        <v>37200</v>
      </c>
      <c r="U32" s="91">
        <v>9.5</v>
      </c>
      <c r="V32" s="104">
        <v>33330</v>
      </c>
      <c r="W32" s="105">
        <v>34670</v>
      </c>
      <c r="X32" s="92">
        <v>37450</v>
      </c>
      <c r="Y32" s="93">
        <v>39330</v>
      </c>
    </row>
    <row r="33" spans="1:25" ht="23.25" x14ac:dyDescent="0.2">
      <c r="A33" s="98"/>
      <c r="B33" s="98"/>
      <c r="C33" s="98"/>
      <c r="D33" s="98"/>
      <c r="E33" s="98"/>
      <c r="F33" s="98"/>
      <c r="G33" s="106"/>
      <c r="H33" s="106"/>
      <c r="I33" s="106"/>
      <c r="J33" s="106"/>
      <c r="K33" s="111">
        <v>17</v>
      </c>
      <c r="L33" s="104">
        <v>29190</v>
      </c>
      <c r="M33" s="105">
        <v>30360</v>
      </c>
      <c r="N33" s="112">
        <v>32790</v>
      </c>
      <c r="O33" s="113">
        <v>34430</v>
      </c>
      <c r="P33" s="99">
        <v>13</v>
      </c>
      <c r="Q33" s="100">
        <v>30920</v>
      </c>
      <c r="R33" s="101">
        <v>32160</v>
      </c>
      <c r="S33" s="102">
        <v>34740</v>
      </c>
      <c r="T33" s="103">
        <v>36480</v>
      </c>
      <c r="U33" s="91">
        <v>9</v>
      </c>
      <c r="V33" s="104">
        <v>32680</v>
      </c>
      <c r="W33" s="105">
        <v>33990</v>
      </c>
      <c r="X33" s="92">
        <v>36710</v>
      </c>
      <c r="Y33" s="93">
        <v>38550</v>
      </c>
    </row>
    <row r="34" spans="1:25" ht="23.25" x14ac:dyDescent="0.2">
      <c r="A34" s="98"/>
      <c r="B34" s="98"/>
      <c r="C34" s="98"/>
      <c r="D34" s="98"/>
      <c r="E34" s="98"/>
      <c r="F34" s="114"/>
      <c r="G34" s="115"/>
      <c r="H34" s="115"/>
      <c r="I34" s="115"/>
      <c r="J34" s="115"/>
      <c r="K34" s="111">
        <v>16.5</v>
      </c>
      <c r="L34" s="104">
        <v>28690</v>
      </c>
      <c r="M34" s="105">
        <v>29840</v>
      </c>
      <c r="N34" s="112">
        <v>32230</v>
      </c>
      <c r="O34" s="113">
        <v>33850</v>
      </c>
      <c r="P34" s="99">
        <v>12.5</v>
      </c>
      <c r="Q34" s="100">
        <v>30340</v>
      </c>
      <c r="R34" s="101">
        <v>31560</v>
      </c>
      <c r="S34" s="102">
        <v>34090</v>
      </c>
      <c r="T34" s="103">
        <v>35800</v>
      </c>
      <c r="U34" s="91">
        <v>8.5</v>
      </c>
      <c r="V34" s="104">
        <v>32020</v>
      </c>
      <c r="W34" s="105">
        <v>33310</v>
      </c>
      <c r="X34" s="92">
        <v>35980</v>
      </c>
      <c r="Y34" s="93">
        <v>37780</v>
      </c>
    </row>
    <row r="35" spans="1:25" ht="23.25" x14ac:dyDescent="0.2">
      <c r="A35" s="98"/>
      <c r="B35" s="98"/>
      <c r="C35" s="98"/>
      <c r="D35" s="71"/>
      <c r="E35" s="71"/>
      <c r="F35" s="116">
        <v>21</v>
      </c>
      <c r="G35" s="117">
        <v>26440</v>
      </c>
      <c r="H35" s="118">
        <v>27500</v>
      </c>
      <c r="I35" s="119">
        <v>29700</v>
      </c>
      <c r="J35" s="120">
        <v>31190</v>
      </c>
      <c r="K35" s="111">
        <v>16</v>
      </c>
      <c r="L35" s="104">
        <v>28190</v>
      </c>
      <c r="M35" s="105">
        <v>29320</v>
      </c>
      <c r="N35" s="112">
        <v>31670</v>
      </c>
      <c r="O35" s="113">
        <v>33260</v>
      </c>
      <c r="P35" s="99">
        <v>12</v>
      </c>
      <c r="Q35" s="100">
        <v>29760</v>
      </c>
      <c r="R35" s="101">
        <v>30960</v>
      </c>
      <c r="S35" s="102">
        <v>33440</v>
      </c>
      <c r="T35" s="103">
        <v>35120</v>
      </c>
      <c r="U35" s="91">
        <v>8</v>
      </c>
      <c r="V35" s="104">
        <v>31370</v>
      </c>
      <c r="W35" s="105">
        <v>32630</v>
      </c>
      <c r="X35" s="92">
        <v>35250</v>
      </c>
      <c r="Y35" s="93">
        <v>37020</v>
      </c>
    </row>
    <row r="36" spans="1:25" ht="23.25" x14ac:dyDescent="0.2">
      <c r="A36" s="98"/>
      <c r="B36" s="98"/>
      <c r="C36" s="98"/>
      <c r="D36" s="71"/>
      <c r="E36" s="71"/>
      <c r="F36" s="116">
        <v>20.5</v>
      </c>
      <c r="G36" s="117">
        <v>26020</v>
      </c>
      <c r="H36" s="118">
        <v>27070</v>
      </c>
      <c r="I36" s="119">
        <v>29240</v>
      </c>
      <c r="J36" s="120">
        <v>30710</v>
      </c>
      <c r="K36" s="111">
        <v>15.5</v>
      </c>
      <c r="L36" s="104">
        <v>27670</v>
      </c>
      <c r="M36" s="105">
        <v>28780</v>
      </c>
      <c r="N36" s="112">
        <v>31090</v>
      </c>
      <c r="O36" s="113">
        <v>32650</v>
      </c>
      <c r="P36" s="99">
        <v>11.5</v>
      </c>
      <c r="Q36" s="100">
        <v>29210</v>
      </c>
      <c r="R36" s="101">
        <v>30380</v>
      </c>
      <c r="S36" s="102">
        <v>32820</v>
      </c>
      <c r="T36" s="103">
        <v>34470</v>
      </c>
      <c r="U36" s="91">
        <v>7.5</v>
      </c>
      <c r="V36" s="104">
        <v>30720</v>
      </c>
      <c r="W36" s="105">
        <v>31950</v>
      </c>
      <c r="X36" s="92">
        <v>34510</v>
      </c>
      <c r="Y36" s="93">
        <v>36240</v>
      </c>
    </row>
    <row r="37" spans="1:25" ht="23.25" x14ac:dyDescent="0.2">
      <c r="A37" s="98"/>
      <c r="B37" s="98"/>
      <c r="C37" s="98"/>
      <c r="D37" s="71"/>
      <c r="E37" s="71"/>
      <c r="F37" s="116">
        <v>20</v>
      </c>
      <c r="G37" s="117">
        <v>25590</v>
      </c>
      <c r="H37" s="118">
        <v>26620</v>
      </c>
      <c r="I37" s="119">
        <v>28750</v>
      </c>
      <c r="J37" s="120">
        <v>30190</v>
      </c>
      <c r="K37" s="111">
        <v>15</v>
      </c>
      <c r="L37" s="104">
        <v>27170</v>
      </c>
      <c r="M37" s="105">
        <v>28260</v>
      </c>
      <c r="N37" s="112">
        <v>30530</v>
      </c>
      <c r="O37" s="113">
        <v>32060</v>
      </c>
      <c r="P37" s="99">
        <v>11</v>
      </c>
      <c r="Q37" s="100">
        <v>28650</v>
      </c>
      <c r="R37" s="101">
        <v>29800</v>
      </c>
      <c r="S37" s="102">
        <v>32190</v>
      </c>
      <c r="T37" s="103">
        <v>33800</v>
      </c>
      <c r="U37" s="91">
        <v>7</v>
      </c>
      <c r="V37" s="104">
        <v>30070</v>
      </c>
      <c r="W37" s="105">
        <v>31280</v>
      </c>
      <c r="X37" s="92">
        <v>33790</v>
      </c>
      <c r="Y37" s="93">
        <v>35480</v>
      </c>
    </row>
    <row r="38" spans="1:25" ht="23.25" x14ac:dyDescent="0.2">
      <c r="A38" s="98"/>
      <c r="B38" s="98"/>
      <c r="C38" s="98"/>
      <c r="D38" s="71"/>
      <c r="E38" s="71"/>
      <c r="F38" s="116">
        <v>19.5</v>
      </c>
      <c r="G38" s="117">
        <v>25170</v>
      </c>
      <c r="H38" s="118">
        <v>26180</v>
      </c>
      <c r="I38" s="119">
        <v>28280</v>
      </c>
      <c r="J38" s="120">
        <v>29700</v>
      </c>
      <c r="K38" s="111">
        <v>14.5</v>
      </c>
      <c r="L38" s="104">
        <v>26650</v>
      </c>
      <c r="M38" s="105">
        <v>27720</v>
      </c>
      <c r="N38" s="112">
        <v>29940</v>
      </c>
      <c r="O38" s="113">
        <v>31440</v>
      </c>
      <c r="P38" s="99">
        <v>10.5</v>
      </c>
      <c r="Q38" s="100">
        <v>28090</v>
      </c>
      <c r="R38" s="101">
        <v>29220</v>
      </c>
      <c r="S38" s="102">
        <v>31560</v>
      </c>
      <c r="T38" s="103">
        <v>33140</v>
      </c>
      <c r="U38" s="91">
        <v>6.5</v>
      </c>
      <c r="V38" s="104">
        <v>29400</v>
      </c>
      <c r="W38" s="105">
        <v>30580</v>
      </c>
      <c r="X38" s="92">
        <v>33030</v>
      </c>
      <c r="Y38" s="93">
        <v>34690</v>
      </c>
    </row>
    <row r="39" spans="1:25" ht="23.25" x14ac:dyDescent="0.2">
      <c r="A39" s="98"/>
      <c r="B39" s="98"/>
      <c r="C39" s="98"/>
      <c r="D39" s="71"/>
      <c r="E39" s="71"/>
      <c r="F39" s="116">
        <v>19</v>
      </c>
      <c r="G39" s="117">
        <v>24750</v>
      </c>
      <c r="H39" s="118">
        <v>25740</v>
      </c>
      <c r="I39" s="119">
        <v>27800</v>
      </c>
      <c r="J39" s="120">
        <v>29190</v>
      </c>
      <c r="K39" s="111">
        <v>14</v>
      </c>
      <c r="L39" s="104">
        <v>26150</v>
      </c>
      <c r="M39" s="105">
        <v>27200</v>
      </c>
      <c r="N39" s="112">
        <v>29380</v>
      </c>
      <c r="O39" s="113">
        <v>30850</v>
      </c>
      <c r="P39" s="99">
        <v>10</v>
      </c>
      <c r="Q39" s="100">
        <v>27550</v>
      </c>
      <c r="R39" s="101">
        <v>28660</v>
      </c>
      <c r="S39" s="102">
        <v>30960</v>
      </c>
      <c r="T39" s="103">
        <v>32510</v>
      </c>
      <c r="U39" s="91">
        <v>6</v>
      </c>
      <c r="V39" s="104">
        <v>28750</v>
      </c>
      <c r="W39" s="105">
        <v>29900</v>
      </c>
      <c r="X39" s="92">
        <v>32300</v>
      </c>
      <c r="Y39" s="93">
        <v>33920</v>
      </c>
    </row>
    <row r="40" spans="1:25" ht="23.25" x14ac:dyDescent="0.2">
      <c r="A40" s="98"/>
      <c r="B40" s="98"/>
      <c r="C40" s="98"/>
      <c r="D40" s="71"/>
      <c r="E40" s="71"/>
      <c r="F40" s="116">
        <v>18.5</v>
      </c>
      <c r="G40" s="117">
        <v>24330</v>
      </c>
      <c r="H40" s="118">
        <v>25310</v>
      </c>
      <c r="I40" s="119">
        <v>27340</v>
      </c>
      <c r="J40" s="120">
        <v>28710</v>
      </c>
      <c r="K40" s="111">
        <v>13.5</v>
      </c>
      <c r="L40" s="104">
        <v>25660</v>
      </c>
      <c r="M40" s="105">
        <v>26690</v>
      </c>
      <c r="N40" s="112">
        <v>28830</v>
      </c>
      <c r="O40" s="113">
        <v>30280</v>
      </c>
      <c r="P40" s="99">
        <v>9.5</v>
      </c>
      <c r="Q40" s="100">
        <v>27010</v>
      </c>
      <c r="R40" s="101">
        <v>28100</v>
      </c>
      <c r="S40" s="102">
        <v>30350</v>
      </c>
      <c r="T40" s="103">
        <v>31870</v>
      </c>
      <c r="U40" s="91">
        <v>5.5</v>
      </c>
      <c r="V40" s="104">
        <v>28100</v>
      </c>
      <c r="W40" s="105">
        <v>29230</v>
      </c>
      <c r="X40" s="92">
        <v>31570</v>
      </c>
      <c r="Y40" s="93">
        <v>33150</v>
      </c>
    </row>
    <row r="41" spans="1:25" ht="23.25" x14ac:dyDescent="0.2">
      <c r="A41" s="121">
        <v>24</v>
      </c>
      <c r="B41" s="106"/>
      <c r="C41" s="106"/>
      <c r="D41" s="122"/>
      <c r="E41" s="122"/>
      <c r="F41" s="116">
        <v>18</v>
      </c>
      <c r="G41" s="117">
        <v>23910</v>
      </c>
      <c r="H41" s="118">
        <v>24870</v>
      </c>
      <c r="I41" s="119">
        <v>26860</v>
      </c>
      <c r="J41" s="120">
        <v>28210</v>
      </c>
      <c r="K41" s="111">
        <v>13</v>
      </c>
      <c r="L41" s="104">
        <v>25160</v>
      </c>
      <c r="M41" s="105">
        <v>26170</v>
      </c>
      <c r="N41" s="112">
        <v>28270</v>
      </c>
      <c r="O41" s="113">
        <v>29690</v>
      </c>
      <c r="P41" s="99">
        <v>9</v>
      </c>
      <c r="Q41" s="100">
        <v>26490</v>
      </c>
      <c r="R41" s="101">
        <v>27550</v>
      </c>
      <c r="S41" s="102">
        <v>29760</v>
      </c>
      <c r="T41" s="103">
        <v>31250</v>
      </c>
      <c r="U41" s="91">
        <v>5</v>
      </c>
      <c r="V41" s="104">
        <v>27450</v>
      </c>
      <c r="W41" s="105">
        <v>28550</v>
      </c>
      <c r="X41" s="92">
        <v>30840</v>
      </c>
      <c r="Y41" s="93">
        <v>32390</v>
      </c>
    </row>
    <row r="42" spans="1:25" ht="23.25" x14ac:dyDescent="0.2">
      <c r="A42" s="123">
        <v>23.5</v>
      </c>
      <c r="B42" s="106"/>
      <c r="C42" s="106"/>
      <c r="D42" s="106"/>
      <c r="E42" s="106"/>
      <c r="F42" s="124">
        <v>17.5</v>
      </c>
      <c r="G42" s="117">
        <v>23490</v>
      </c>
      <c r="H42" s="118">
        <v>24430</v>
      </c>
      <c r="I42" s="119">
        <v>26390</v>
      </c>
      <c r="J42" s="120">
        <v>27710</v>
      </c>
      <c r="K42" s="111">
        <v>12.5</v>
      </c>
      <c r="L42" s="104">
        <v>24700</v>
      </c>
      <c r="M42" s="105">
        <v>25690</v>
      </c>
      <c r="N42" s="112">
        <v>27750</v>
      </c>
      <c r="O42" s="113">
        <v>29140</v>
      </c>
      <c r="P42" s="99">
        <v>8.5</v>
      </c>
      <c r="Q42" s="100">
        <v>25960</v>
      </c>
      <c r="R42" s="101">
        <v>27000</v>
      </c>
      <c r="S42" s="102">
        <v>29160</v>
      </c>
      <c r="T42" s="103">
        <v>30620</v>
      </c>
      <c r="U42" s="91">
        <v>4.5</v>
      </c>
      <c r="V42" s="104">
        <v>26800</v>
      </c>
      <c r="W42" s="105">
        <v>27880</v>
      </c>
      <c r="X42" s="92">
        <v>30120</v>
      </c>
      <c r="Y42" s="93">
        <v>31630</v>
      </c>
    </row>
    <row r="43" spans="1:25" ht="23.25" x14ac:dyDescent="0.2">
      <c r="A43" s="121">
        <v>23</v>
      </c>
      <c r="B43" s="106"/>
      <c r="C43" s="106"/>
      <c r="D43" s="106"/>
      <c r="E43" s="106"/>
      <c r="F43" s="124">
        <v>17</v>
      </c>
      <c r="G43" s="117">
        <v>23060</v>
      </c>
      <c r="H43" s="118">
        <v>23990</v>
      </c>
      <c r="I43" s="119">
        <v>25910</v>
      </c>
      <c r="J43" s="120">
        <v>27210</v>
      </c>
      <c r="K43" s="111">
        <v>12</v>
      </c>
      <c r="L43" s="104">
        <v>24230</v>
      </c>
      <c r="M43" s="105">
        <v>25200</v>
      </c>
      <c r="N43" s="112">
        <v>27220</v>
      </c>
      <c r="O43" s="113">
        <v>28590</v>
      </c>
      <c r="P43" s="99">
        <v>8</v>
      </c>
      <c r="Q43" s="100">
        <v>25450</v>
      </c>
      <c r="R43" s="101">
        <v>26470</v>
      </c>
      <c r="S43" s="102">
        <v>28590</v>
      </c>
      <c r="T43" s="103">
        <v>30020</v>
      </c>
      <c r="U43" s="91">
        <v>4</v>
      </c>
      <c r="V43" s="104">
        <v>26150</v>
      </c>
      <c r="W43" s="105">
        <v>27200</v>
      </c>
      <c r="X43" s="92">
        <v>29380</v>
      </c>
      <c r="Y43" s="93">
        <v>30850</v>
      </c>
    </row>
    <row r="44" spans="1:25" ht="23.25" x14ac:dyDescent="0.2">
      <c r="A44" s="121">
        <v>22.5</v>
      </c>
      <c r="B44" s="106"/>
      <c r="C44" s="106"/>
      <c r="D44" s="106"/>
      <c r="E44" s="106"/>
      <c r="F44" s="124">
        <v>16.5</v>
      </c>
      <c r="G44" s="117">
        <v>22640</v>
      </c>
      <c r="H44" s="118">
        <v>23550</v>
      </c>
      <c r="I44" s="119">
        <v>25440</v>
      </c>
      <c r="J44" s="120">
        <v>26720</v>
      </c>
      <c r="K44" s="111">
        <v>11.5</v>
      </c>
      <c r="L44" s="104">
        <v>23770</v>
      </c>
      <c r="M44" s="105">
        <v>24730</v>
      </c>
      <c r="N44" s="112">
        <v>26710</v>
      </c>
      <c r="O44" s="113">
        <v>28050</v>
      </c>
      <c r="P44" s="99">
        <v>7.5</v>
      </c>
      <c r="Q44" s="100">
        <v>24930</v>
      </c>
      <c r="R44" s="101">
        <v>25930</v>
      </c>
      <c r="S44" s="102">
        <v>28010</v>
      </c>
      <c r="T44" s="103">
        <v>29420</v>
      </c>
      <c r="U44" s="91">
        <v>3.5</v>
      </c>
      <c r="V44" s="104">
        <v>25500</v>
      </c>
      <c r="W44" s="105">
        <v>26520</v>
      </c>
      <c r="X44" s="92">
        <v>28650</v>
      </c>
      <c r="Y44" s="93">
        <v>30090</v>
      </c>
    </row>
    <row r="45" spans="1:25" ht="23.25" x14ac:dyDescent="0.2">
      <c r="A45" s="121">
        <v>22</v>
      </c>
      <c r="B45" s="106"/>
      <c r="C45" s="106"/>
      <c r="D45" s="106"/>
      <c r="E45" s="106"/>
      <c r="F45" s="124">
        <v>16</v>
      </c>
      <c r="G45" s="117">
        <v>22220</v>
      </c>
      <c r="H45" s="118">
        <v>23110</v>
      </c>
      <c r="I45" s="119">
        <v>24960</v>
      </c>
      <c r="J45" s="120">
        <v>26210</v>
      </c>
      <c r="K45" s="111">
        <v>11</v>
      </c>
      <c r="L45" s="104">
        <v>23310</v>
      </c>
      <c r="M45" s="105">
        <v>24250</v>
      </c>
      <c r="N45" s="112">
        <v>26190</v>
      </c>
      <c r="O45" s="113">
        <v>27500</v>
      </c>
      <c r="P45" s="99">
        <v>7</v>
      </c>
      <c r="Q45" s="100">
        <v>24410</v>
      </c>
      <c r="R45" s="101">
        <v>25390</v>
      </c>
      <c r="S45" s="102">
        <v>27430</v>
      </c>
      <c r="T45" s="103">
        <v>28810</v>
      </c>
      <c r="U45" s="91">
        <v>3</v>
      </c>
      <c r="V45" s="104">
        <v>24860</v>
      </c>
      <c r="W45" s="105">
        <v>25860</v>
      </c>
      <c r="X45" s="92">
        <v>27930</v>
      </c>
      <c r="Y45" s="93">
        <v>29330</v>
      </c>
    </row>
    <row r="46" spans="1:25" ht="23.25" x14ac:dyDescent="0.2">
      <c r="A46" s="121">
        <v>2.15</v>
      </c>
      <c r="B46" s="106"/>
      <c r="C46" s="106"/>
      <c r="D46" s="106"/>
      <c r="E46" s="106"/>
      <c r="F46" s="124">
        <v>15.5</v>
      </c>
      <c r="G46" s="117">
        <v>21800</v>
      </c>
      <c r="H46" s="118">
        <v>22680</v>
      </c>
      <c r="I46" s="119">
        <v>24500</v>
      </c>
      <c r="J46" s="120">
        <v>25730</v>
      </c>
      <c r="K46" s="111">
        <v>10.5</v>
      </c>
      <c r="L46" s="104">
        <v>22860</v>
      </c>
      <c r="M46" s="105">
        <v>23780</v>
      </c>
      <c r="N46" s="112">
        <v>25690</v>
      </c>
      <c r="O46" s="113">
        <v>26980</v>
      </c>
      <c r="P46" s="99">
        <v>6.5</v>
      </c>
      <c r="Q46" s="100">
        <v>23890</v>
      </c>
      <c r="R46" s="101">
        <v>24850</v>
      </c>
      <c r="S46" s="102">
        <v>26840</v>
      </c>
      <c r="T46" s="103">
        <v>28190</v>
      </c>
      <c r="U46" s="91">
        <v>2.5</v>
      </c>
      <c r="V46" s="104">
        <v>24230</v>
      </c>
      <c r="W46" s="105">
        <v>25200</v>
      </c>
      <c r="X46" s="92">
        <v>27220</v>
      </c>
      <c r="Y46" s="93">
        <v>28590</v>
      </c>
    </row>
    <row r="47" spans="1:25" ht="23.25" x14ac:dyDescent="0.2">
      <c r="A47" s="121">
        <v>21</v>
      </c>
      <c r="B47" s="106"/>
      <c r="C47" s="106"/>
      <c r="D47" s="106"/>
      <c r="E47" s="106"/>
      <c r="F47" s="124">
        <v>15</v>
      </c>
      <c r="G47" s="117">
        <v>21390</v>
      </c>
      <c r="H47" s="118">
        <v>22250</v>
      </c>
      <c r="I47" s="119">
        <v>24030</v>
      </c>
      <c r="J47" s="120">
        <v>25240</v>
      </c>
      <c r="K47" s="111">
        <v>10</v>
      </c>
      <c r="L47" s="104">
        <v>22420</v>
      </c>
      <c r="M47" s="105">
        <v>23320</v>
      </c>
      <c r="N47" s="112">
        <v>25190</v>
      </c>
      <c r="O47" s="113">
        <v>26450</v>
      </c>
      <c r="P47" s="99">
        <v>6</v>
      </c>
      <c r="Q47" s="100">
        <v>23370</v>
      </c>
      <c r="R47" s="101">
        <v>24310</v>
      </c>
      <c r="S47" s="102">
        <v>26260</v>
      </c>
      <c r="T47" s="103">
        <v>27580</v>
      </c>
      <c r="U47" s="91">
        <v>2</v>
      </c>
      <c r="V47" s="104">
        <v>23590</v>
      </c>
      <c r="W47" s="105">
        <v>24540</v>
      </c>
      <c r="X47" s="92">
        <v>26510</v>
      </c>
      <c r="Y47" s="93">
        <v>27840</v>
      </c>
    </row>
    <row r="48" spans="1:25" ht="23.25" x14ac:dyDescent="0.2">
      <c r="A48" s="121">
        <v>20.5</v>
      </c>
      <c r="B48" s="106"/>
      <c r="C48" s="106"/>
      <c r="D48" s="106"/>
      <c r="E48" s="106"/>
      <c r="F48" s="124">
        <v>14.5</v>
      </c>
      <c r="G48" s="117">
        <v>20980</v>
      </c>
      <c r="H48" s="118">
        <v>21820</v>
      </c>
      <c r="I48" s="119">
        <v>23570</v>
      </c>
      <c r="J48" s="120">
        <v>24750</v>
      </c>
      <c r="K48" s="111">
        <v>9.5</v>
      </c>
      <c r="L48" s="104">
        <v>21980</v>
      </c>
      <c r="M48" s="105">
        <v>22860</v>
      </c>
      <c r="N48" s="112">
        <v>24690</v>
      </c>
      <c r="O48" s="113">
        <v>25930</v>
      </c>
      <c r="P48" s="99">
        <v>5.5</v>
      </c>
      <c r="Q48" s="100">
        <v>22850</v>
      </c>
      <c r="R48" s="101">
        <v>23770</v>
      </c>
      <c r="S48" s="102">
        <v>25680</v>
      </c>
      <c r="T48" s="103">
        <v>26970</v>
      </c>
      <c r="U48" s="91">
        <v>1.5</v>
      </c>
      <c r="V48" s="104">
        <v>22960</v>
      </c>
      <c r="W48" s="105">
        <v>23880</v>
      </c>
      <c r="X48" s="92">
        <v>25800</v>
      </c>
      <c r="Y48" s="93">
        <v>27090</v>
      </c>
    </row>
    <row r="49" spans="1:25" ht="24" thickBot="1" x14ac:dyDescent="0.25">
      <c r="A49" s="121">
        <v>20</v>
      </c>
      <c r="B49" s="115"/>
      <c r="C49" s="115"/>
      <c r="D49" s="115"/>
      <c r="E49" s="115"/>
      <c r="F49" s="124">
        <v>14</v>
      </c>
      <c r="G49" s="117">
        <v>20580</v>
      </c>
      <c r="H49" s="118">
        <v>21410</v>
      </c>
      <c r="I49" s="119">
        <v>23130</v>
      </c>
      <c r="J49" s="120">
        <v>24290</v>
      </c>
      <c r="K49" s="111">
        <v>9</v>
      </c>
      <c r="L49" s="104">
        <v>21550</v>
      </c>
      <c r="M49" s="105">
        <v>22420</v>
      </c>
      <c r="N49" s="112">
        <v>24220</v>
      </c>
      <c r="O49" s="113">
        <v>25440</v>
      </c>
      <c r="P49" s="99">
        <v>5</v>
      </c>
      <c r="Q49" s="100">
        <v>22330</v>
      </c>
      <c r="R49" s="101">
        <v>23230</v>
      </c>
      <c r="S49" s="125">
        <v>25090</v>
      </c>
      <c r="T49" s="103">
        <v>26350</v>
      </c>
      <c r="U49" s="126">
        <v>1</v>
      </c>
      <c r="V49" s="127">
        <v>22330</v>
      </c>
      <c r="W49" s="128">
        <v>23230</v>
      </c>
      <c r="X49" s="129">
        <v>23230</v>
      </c>
      <c r="Y49" s="130">
        <v>24400</v>
      </c>
    </row>
    <row r="50" spans="1:25" ht="24" thickTop="1" x14ac:dyDescent="0.2">
      <c r="A50" s="123">
        <v>19.5</v>
      </c>
      <c r="B50" s="106"/>
      <c r="C50" s="106"/>
      <c r="D50" s="106"/>
      <c r="E50" s="106"/>
      <c r="F50" s="131">
        <v>13.5</v>
      </c>
      <c r="G50" s="132">
        <v>20180</v>
      </c>
      <c r="H50" s="133">
        <v>20990</v>
      </c>
      <c r="I50" s="134">
        <v>22670</v>
      </c>
      <c r="J50" s="135">
        <v>23810</v>
      </c>
      <c r="K50" s="136">
        <v>8.5</v>
      </c>
      <c r="L50" s="137">
        <v>21130</v>
      </c>
      <c r="M50" s="138">
        <v>21980</v>
      </c>
      <c r="N50" s="139">
        <v>23740</v>
      </c>
      <c r="O50" s="140">
        <v>24930</v>
      </c>
      <c r="P50" s="141">
        <v>4.5</v>
      </c>
      <c r="Q50" s="142">
        <v>21810</v>
      </c>
      <c r="R50" s="143">
        <v>22690</v>
      </c>
      <c r="S50" s="144">
        <v>24510</v>
      </c>
      <c r="T50" s="103">
        <v>25740</v>
      </c>
      <c r="U50" s="145"/>
      <c r="V50" s="98"/>
      <c r="W50" s="98"/>
      <c r="X50" s="146"/>
      <c r="Y50" s="98"/>
    </row>
    <row r="51" spans="1:25" ht="23.25" x14ac:dyDescent="0.2">
      <c r="A51" s="121">
        <v>19</v>
      </c>
      <c r="B51" s="106"/>
      <c r="C51" s="106"/>
      <c r="D51" s="106"/>
      <c r="E51" s="106"/>
      <c r="F51" s="124">
        <v>13</v>
      </c>
      <c r="G51" s="117">
        <v>19790</v>
      </c>
      <c r="H51" s="118">
        <v>20590</v>
      </c>
      <c r="I51" s="119">
        <v>22240</v>
      </c>
      <c r="J51" s="120">
        <v>23360</v>
      </c>
      <c r="K51" s="111">
        <v>8</v>
      </c>
      <c r="L51" s="104">
        <v>20710</v>
      </c>
      <c r="M51" s="105">
        <v>21540</v>
      </c>
      <c r="N51" s="112">
        <v>23270</v>
      </c>
      <c r="O51" s="113">
        <v>24440</v>
      </c>
      <c r="P51" s="99">
        <v>4</v>
      </c>
      <c r="Q51" s="100">
        <v>21300</v>
      </c>
      <c r="R51" s="147">
        <v>22160</v>
      </c>
      <c r="S51" s="125">
        <v>23940</v>
      </c>
      <c r="T51" s="103">
        <v>25140</v>
      </c>
      <c r="U51" s="145"/>
      <c r="V51" s="98"/>
      <c r="W51" s="98"/>
      <c r="X51" s="98"/>
      <c r="Y51" s="98"/>
    </row>
    <row r="52" spans="1:25" ht="23.25" x14ac:dyDescent="0.2">
      <c r="A52" s="121">
        <v>18.5</v>
      </c>
      <c r="B52" s="106"/>
      <c r="C52" s="106"/>
      <c r="D52" s="106"/>
      <c r="E52" s="106"/>
      <c r="F52" s="124">
        <v>12.5</v>
      </c>
      <c r="G52" s="117">
        <v>19400</v>
      </c>
      <c r="H52" s="118">
        <v>20180</v>
      </c>
      <c r="I52" s="119">
        <v>21800</v>
      </c>
      <c r="J52" s="120">
        <v>22890</v>
      </c>
      <c r="K52" s="111">
        <v>7.5</v>
      </c>
      <c r="L52" s="104">
        <v>20290</v>
      </c>
      <c r="M52" s="105">
        <v>21110</v>
      </c>
      <c r="N52" s="112">
        <v>22800</v>
      </c>
      <c r="O52" s="113">
        <v>23940</v>
      </c>
      <c r="P52" s="99">
        <v>3.5</v>
      </c>
      <c r="Q52" s="100">
        <v>20770</v>
      </c>
      <c r="R52" s="147">
        <v>21610</v>
      </c>
      <c r="S52" s="125">
        <v>23340</v>
      </c>
      <c r="T52" s="103">
        <v>24510</v>
      </c>
      <c r="U52" s="145"/>
      <c r="V52" s="98"/>
      <c r="W52" s="98"/>
      <c r="X52" s="98"/>
      <c r="Y52" s="98"/>
    </row>
    <row r="53" spans="1:25" ht="23.25" x14ac:dyDescent="0.2">
      <c r="A53" s="121">
        <v>18</v>
      </c>
      <c r="B53" s="106"/>
      <c r="C53" s="106"/>
      <c r="D53" s="106"/>
      <c r="E53" s="106"/>
      <c r="F53" s="124">
        <v>12</v>
      </c>
      <c r="G53" s="117">
        <v>19020</v>
      </c>
      <c r="H53" s="118">
        <v>19790</v>
      </c>
      <c r="I53" s="119">
        <v>21380</v>
      </c>
      <c r="J53" s="120">
        <v>22450</v>
      </c>
      <c r="K53" s="111">
        <v>7</v>
      </c>
      <c r="L53" s="104">
        <v>19870</v>
      </c>
      <c r="M53" s="105">
        <v>20670</v>
      </c>
      <c r="N53" s="112">
        <v>22330</v>
      </c>
      <c r="O53" s="113">
        <v>23450</v>
      </c>
      <c r="P53" s="99">
        <v>3</v>
      </c>
      <c r="Q53" s="100">
        <v>20260</v>
      </c>
      <c r="R53" s="147">
        <v>21080</v>
      </c>
      <c r="S53" s="125">
        <v>22770</v>
      </c>
      <c r="T53" s="103">
        <v>23910</v>
      </c>
      <c r="U53" s="145"/>
      <c r="V53" s="98"/>
      <c r="W53" s="98"/>
      <c r="X53" s="98"/>
      <c r="Y53" s="98"/>
    </row>
    <row r="54" spans="1:25" ht="23.25" x14ac:dyDescent="0.2">
      <c r="A54" s="121">
        <v>17.5</v>
      </c>
      <c r="B54" s="106"/>
      <c r="C54" s="106"/>
      <c r="D54" s="106"/>
      <c r="E54" s="106"/>
      <c r="F54" s="124">
        <v>11.5</v>
      </c>
      <c r="G54" s="117">
        <v>18640</v>
      </c>
      <c r="H54" s="118">
        <v>19390</v>
      </c>
      <c r="I54" s="119">
        <v>20950</v>
      </c>
      <c r="J54" s="120">
        <v>22000</v>
      </c>
      <c r="K54" s="111">
        <v>6.5</v>
      </c>
      <c r="L54" s="104">
        <v>19440</v>
      </c>
      <c r="M54" s="105">
        <v>20220</v>
      </c>
      <c r="N54" s="112">
        <v>21840</v>
      </c>
      <c r="O54" s="113">
        <v>22940</v>
      </c>
      <c r="P54" s="99">
        <v>2.5</v>
      </c>
      <c r="Q54" s="100">
        <v>19730</v>
      </c>
      <c r="R54" s="147">
        <v>20520</v>
      </c>
      <c r="S54" s="125">
        <v>22170</v>
      </c>
      <c r="T54" s="103">
        <v>23280</v>
      </c>
      <c r="U54" s="145"/>
      <c r="V54" s="98"/>
      <c r="W54" s="98"/>
      <c r="X54" s="98"/>
      <c r="Y54" s="98"/>
    </row>
    <row r="55" spans="1:25" ht="23.25" x14ac:dyDescent="0.2">
      <c r="A55" s="121">
        <v>17</v>
      </c>
      <c r="B55" s="106"/>
      <c r="C55" s="106"/>
      <c r="D55" s="106"/>
      <c r="E55" s="106"/>
      <c r="F55" s="124">
        <v>11</v>
      </c>
      <c r="G55" s="117">
        <v>18270</v>
      </c>
      <c r="H55" s="118">
        <v>19010</v>
      </c>
      <c r="I55" s="119">
        <v>20540</v>
      </c>
      <c r="J55" s="120">
        <v>21570</v>
      </c>
      <c r="K55" s="111">
        <v>6</v>
      </c>
      <c r="L55" s="104">
        <v>19030</v>
      </c>
      <c r="M55" s="105">
        <v>19800</v>
      </c>
      <c r="N55" s="112">
        <v>21390</v>
      </c>
      <c r="O55" s="113">
        <v>22460</v>
      </c>
      <c r="P55" s="99">
        <v>2</v>
      </c>
      <c r="Q55" s="100">
        <v>19220</v>
      </c>
      <c r="R55" s="147">
        <v>19990</v>
      </c>
      <c r="S55" s="125">
        <v>21590</v>
      </c>
      <c r="T55" s="103">
        <v>22670</v>
      </c>
      <c r="U55" s="145"/>
      <c r="V55" s="98"/>
      <c r="W55" s="98"/>
      <c r="X55" s="98"/>
      <c r="Y55" s="98"/>
    </row>
    <row r="56" spans="1:25" ht="23.25" x14ac:dyDescent="0.2">
      <c r="A56" s="121">
        <v>16.5</v>
      </c>
      <c r="B56" s="106"/>
      <c r="C56" s="106"/>
      <c r="D56" s="106"/>
      <c r="E56" s="106"/>
      <c r="F56" s="124">
        <v>10.5</v>
      </c>
      <c r="G56" s="117">
        <v>17920</v>
      </c>
      <c r="H56" s="118">
        <v>18640</v>
      </c>
      <c r="I56" s="119">
        <v>20140</v>
      </c>
      <c r="J56" s="120">
        <v>21150</v>
      </c>
      <c r="K56" s="111">
        <v>5.5</v>
      </c>
      <c r="L56" s="104">
        <v>18600</v>
      </c>
      <c r="M56" s="105">
        <v>19350</v>
      </c>
      <c r="N56" s="112">
        <v>20900</v>
      </c>
      <c r="O56" s="113">
        <v>21950</v>
      </c>
      <c r="P56" s="99">
        <v>1.5</v>
      </c>
      <c r="Q56" s="100">
        <v>18690</v>
      </c>
      <c r="R56" s="147">
        <v>19440</v>
      </c>
      <c r="S56" s="125">
        <v>21000</v>
      </c>
      <c r="T56" s="103">
        <v>22050</v>
      </c>
      <c r="U56" s="145"/>
      <c r="V56" s="98"/>
      <c r="W56" s="98"/>
      <c r="X56" s="98"/>
      <c r="Y56" s="98"/>
    </row>
    <row r="57" spans="1:25" ht="24" thickBot="1" x14ac:dyDescent="0.25">
      <c r="A57" s="121">
        <v>16</v>
      </c>
      <c r="B57" s="106"/>
      <c r="C57" s="106"/>
      <c r="D57" s="106"/>
      <c r="E57" s="106"/>
      <c r="F57" s="124">
        <v>10</v>
      </c>
      <c r="G57" s="117">
        <v>17570</v>
      </c>
      <c r="H57" s="118">
        <v>18280</v>
      </c>
      <c r="I57" s="119">
        <v>19750</v>
      </c>
      <c r="J57" s="120">
        <v>20740</v>
      </c>
      <c r="K57" s="111">
        <v>5</v>
      </c>
      <c r="L57" s="104">
        <v>18180</v>
      </c>
      <c r="M57" s="105">
        <v>18910</v>
      </c>
      <c r="N57" s="112">
        <v>20430</v>
      </c>
      <c r="O57" s="148">
        <v>21460</v>
      </c>
      <c r="P57" s="149">
        <v>1</v>
      </c>
      <c r="Q57" s="150">
        <v>18180</v>
      </c>
      <c r="R57" s="151">
        <v>18910</v>
      </c>
      <c r="S57" s="152">
        <v>18910</v>
      </c>
      <c r="T57" s="153">
        <v>19860</v>
      </c>
      <c r="U57" s="145"/>
      <c r="V57" s="98"/>
      <c r="W57" s="98"/>
      <c r="X57" s="98"/>
      <c r="Y57" s="98"/>
    </row>
    <row r="58" spans="1:25" ht="24" thickTop="1" x14ac:dyDescent="0.2">
      <c r="A58" s="121">
        <v>15.5</v>
      </c>
      <c r="B58" s="106"/>
      <c r="C58" s="106"/>
      <c r="D58" s="106"/>
      <c r="E58" s="106"/>
      <c r="F58" s="124">
        <v>9.5</v>
      </c>
      <c r="G58" s="117">
        <v>17220</v>
      </c>
      <c r="H58" s="118">
        <v>17910</v>
      </c>
      <c r="I58" s="119">
        <v>19350</v>
      </c>
      <c r="J58" s="120">
        <v>20320</v>
      </c>
      <c r="K58" s="111">
        <v>4.5</v>
      </c>
      <c r="L58" s="104">
        <v>17760</v>
      </c>
      <c r="M58" s="105">
        <v>18480</v>
      </c>
      <c r="N58" s="139">
        <v>19960</v>
      </c>
      <c r="O58" s="140">
        <v>20960</v>
      </c>
      <c r="P58" s="154"/>
      <c r="Q58" s="115">
        <v>17760</v>
      </c>
      <c r="R58" s="155">
        <v>18480</v>
      </c>
      <c r="S58" s="155">
        <v>18480</v>
      </c>
      <c r="T58" s="156">
        <v>19410</v>
      </c>
      <c r="U58" s="157"/>
      <c r="V58" s="98"/>
      <c r="W58" s="98"/>
      <c r="X58" s="98"/>
      <c r="Y58" s="98"/>
    </row>
    <row r="59" spans="1:25" ht="23.25" x14ac:dyDescent="0.2">
      <c r="A59" s="121">
        <v>15</v>
      </c>
      <c r="B59" s="106"/>
      <c r="C59" s="106"/>
      <c r="D59" s="106"/>
      <c r="E59" s="106"/>
      <c r="F59" s="124">
        <v>9</v>
      </c>
      <c r="G59" s="117">
        <v>16880</v>
      </c>
      <c r="H59" s="118">
        <v>17560</v>
      </c>
      <c r="I59" s="119">
        <v>18970</v>
      </c>
      <c r="J59" s="120">
        <v>19920</v>
      </c>
      <c r="K59" s="111">
        <v>4</v>
      </c>
      <c r="L59" s="104">
        <v>17340</v>
      </c>
      <c r="M59" s="105">
        <v>18040</v>
      </c>
      <c r="N59" s="112">
        <v>19490</v>
      </c>
      <c r="O59" s="113">
        <v>20470</v>
      </c>
      <c r="P59" s="158"/>
      <c r="Q59" s="159">
        <v>17340</v>
      </c>
      <c r="R59" s="160">
        <v>18040</v>
      </c>
      <c r="S59" s="160">
        <v>18040</v>
      </c>
      <c r="T59" s="158">
        <v>18950</v>
      </c>
      <c r="U59" s="157"/>
      <c r="V59" s="98"/>
      <c r="W59" s="98"/>
      <c r="X59" s="98"/>
      <c r="Y59" s="98"/>
    </row>
    <row r="60" spans="1:25" ht="23.25" x14ac:dyDescent="0.2">
      <c r="A60" s="121">
        <v>14.5</v>
      </c>
      <c r="B60" s="115"/>
      <c r="C60" s="115"/>
      <c r="D60" s="115"/>
      <c r="E60" s="115"/>
      <c r="F60" s="124">
        <v>8.5</v>
      </c>
      <c r="G60" s="117">
        <v>16530</v>
      </c>
      <c r="H60" s="118">
        <v>17200</v>
      </c>
      <c r="I60" s="119">
        <v>18580</v>
      </c>
      <c r="J60" s="120">
        <v>19510</v>
      </c>
      <c r="K60" s="111">
        <v>3.5</v>
      </c>
      <c r="L60" s="104">
        <v>16910</v>
      </c>
      <c r="M60" s="105">
        <v>17590</v>
      </c>
      <c r="N60" s="112">
        <v>19000</v>
      </c>
      <c r="O60" s="113">
        <v>19950</v>
      </c>
      <c r="P60" s="158"/>
      <c r="Q60" s="159">
        <v>16910</v>
      </c>
      <c r="R60" s="160">
        <v>17590</v>
      </c>
      <c r="S60" s="160">
        <v>17590</v>
      </c>
      <c r="T60" s="158">
        <v>18470</v>
      </c>
      <c r="U60" s="157"/>
      <c r="V60" s="98"/>
      <c r="W60" s="98"/>
      <c r="X60" s="98"/>
      <c r="Y60" s="98"/>
    </row>
    <row r="61" spans="1:25" ht="23.25" x14ac:dyDescent="0.2">
      <c r="A61" s="161">
        <v>14</v>
      </c>
      <c r="B61" s="162">
        <v>16190</v>
      </c>
      <c r="C61" s="163">
        <v>16840</v>
      </c>
      <c r="D61" s="164">
        <v>16840</v>
      </c>
      <c r="E61" s="165">
        <v>17690</v>
      </c>
      <c r="F61" s="124">
        <v>8</v>
      </c>
      <c r="G61" s="117">
        <v>16190</v>
      </c>
      <c r="H61" s="118">
        <v>16840</v>
      </c>
      <c r="I61" s="119">
        <v>18190</v>
      </c>
      <c r="J61" s="120">
        <v>19100</v>
      </c>
      <c r="K61" s="111">
        <v>3</v>
      </c>
      <c r="L61" s="104">
        <v>16490</v>
      </c>
      <c r="M61" s="105">
        <v>17150</v>
      </c>
      <c r="N61" s="112">
        <v>18530</v>
      </c>
      <c r="O61" s="113">
        <v>19460</v>
      </c>
      <c r="P61" s="158"/>
      <c r="Q61" s="159">
        <v>16490</v>
      </c>
      <c r="R61" s="160">
        <v>17150</v>
      </c>
      <c r="S61" s="160">
        <v>17150</v>
      </c>
      <c r="T61" s="158">
        <v>18010</v>
      </c>
      <c r="U61" s="157"/>
      <c r="V61" s="98"/>
      <c r="W61" s="98"/>
      <c r="X61" s="98"/>
      <c r="Y61" s="98"/>
    </row>
    <row r="62" spans="1:25" ht="23.25" x14ac:dyDescent="0.2">
      <c r="A62" s="161">
        <v>13.5</v>
      </c>
      <c r="B62" s="162">
        <v>15840</v>
      </c>
      <c r="C62" s="163">
        <v>16480</v>
      </c>
      <c r="D62" s="164">
        <v>16480</v>
      </c>
      <c r="E62" s="165">
        <v>17310</v>
      </c>
      <c r="F62" s="124">
        <v>7.5</v>
      </c>
      <c r="G62" s="117">
        <v>15840</v>
      </c>
      <c r="H62" s="118">
        <v>16480</v>
      </c>
      <c r="I62" s="119">
        <v>17800</v>
      </c>
      <c r="J62" s="120">
        <v>18690</v>
      </c>
      <c r="K62" s="111">
        <v>2.5</v>
      </c>
      <c r="L62" s="104">
        <v>16070</v>
      </c>
      <c r="M62" s="105">
        <v>16720</v>
      </c>
      <c r="N62" s="112">
        <v>18060</v>
      </c>
      <c r="O62" s="113">
        <v>18970</v>
      </c>
      <c r="P62" s="158"/>
      <c r="Q62" s="159">
        <v>16070</v>
      </c>
      <c r="R62" s="160">
        <v>16720</v>
      </c>
      <c r="S62" s="160">
        <v>16720</v>
      </c>
      <c r="T62" s="158">
        <v>17560</v>
      </c>
      <c r="U62" s="157"/>
      <c r="V62" s="98"/>
      <c r="W62" s="98"/>
      <c r="X62" s="98"/>
      <c r="Y62" s="98"/>
    </row>
    <row r="63" spans="1:25" ht="23.25" x14ac:dyDescent="0.2">
      <c r="A63" s="161">
        <v>13</v>
      </c>
      <c r="B63" s="162">
        <v>15490</v>
      </c>
      <c r="C63" s="163">
        <v>16110</v>
      </c>
      <c r="D63" s="164">
        <v>16110</v>
      </c>
      <c r="E63" s="165">
        <v>16920</v>
      </c>
      <c r="F63" s="124">
        <v>7</v>
      </c>
      <c r="G63" s="117">
        <v>15490</v>
      </c>
      <c r="H63" s="118">
        <v>16110</v>
      </c>
      <c r="I63" s="119">
        <v>17400</v>
      </c>
      <c r="J63" s="120">
        <v>18270</v>
      </c>
      <c r="K63" s="111">
        <v>2</v>
      </c>
      <c r="L63" s="104">
        <v>15650</v>
      </c>
      <c r="M63" s="105">
        <v>16280</v>
      </c>
      <c r="N63" s="112">
        <v>17590</v>
      </c>
      <c r="O63" s="113">
        <v>18470</v>
      </c>
      <c r="P63" s="158"/>
      <c r="Q63" s="159">
        <v>15650</v>
      </c>
      <c r="R63" s="160">
        <v>16280</v>
      </c>
      <c r="S63" s="160">
        <v>16280</v>
      </c>
      <c r="T63" s="158">
        <v>17100</v>
      </c>
      <c r="U63" s="157"/>
      <c r="V63" s="98"/>
      <c r="W63" s="98"/>
      <c r="X63" s="98"/>
      <c r="Y63" s="98"/>
    </row>
    <row r="64" spans="1:25" ht="23.25" x14ac:dyDescent="0.2">
      <c r="A64" s="161">
        <v>12.5</v>
      </c>
      <c r="B64" s="162">
        <v>15170</v>
      </c>
      <c r="C64" s="163">
        <v>15780</v>
      </c>
      <c r="D64" s="164">
        <v>15780</v>
      </c>
      <c r="E64" s="165">
        <v>16570</v>
      </c>
      <c r="F64" s="124">
        <v>6.5</v>
      </c>
      <c r="G64" s="117">
        <v>15170</v>
      </c>
      <c r="H64" s="118">
        <v>15780</v>
      </c>
      <c r="I64" s="119">
        <v>17050</v>
      </c>
      <c r="J64" s="120">
        <v>17910</v>
      </c>
      <c r="K64" s="111">
        <v>1.5</v>
      </c>
      <c r="L64" s="104">
        <v>15230</v>
      </c>
      <c r="M64" s="105">
        <v>15840</v>
      </c>
      <c r="N64" s="112">
        <v>17110</v>
      </c>
      <c r="O64" s="113">
        <v>17970</v>
      </c>
      <c r="P64" s="158"/>
      <c r="Q64" s="159">
        <v>15230</v>
      </c>
      <c r="R64" s="160">
        <v>15840</v>
      </c>
      <c r="S64" s="160">
        <v>15840</v>
      </c>
      <c r="T64" s="158">
        <v>16640</v>
      </c>
      <c r="U64" s="157"/>
      <c r="V64" s="98"/>
      <c r="W64" s="98"/>
      <c r="X64" s="98"/>
      <c r="Y64" s="98"/>
    </row>
    <row r="65" spans="1:25" ht="24" thickBot="1" x14ac:dyDescent="0.25">
      <c r="A65" s="161">
        <v>12</v>
      </c>
      <c r="B65" s="162">
        <v>14810</v>
      </c>
      <c r="C65" s="163">
        <v>15410</v>
      </c>
      <c r="D65" s="164">
        <v>15410</v>
      </c>
      <c r="E65" s="165">
        <v>16190</v>
      </c>
      <c r="F65" s="124">
        <v>6</v>
      </c>
      <c r="G65" s="117">
        <v>14810</v>
      </c>
      <c r="H65" s="118">
        <v>15410</v>
      </c>
      <c r="I65" s="119">
        <v>16650</v>
      </c>
      <c r="J65" s="166">
        <v>17490</v>
      </c>
      <c r="K65" s="167">
        <v>1</v>
      </c>
      <c r="L65" s="168">
        <v>14810</v>
      </c>
      <c r="M65" s="169">
        <v>15410</v>
      </c>
      <c r="N65" s="170">
        <v>15410</v>
      </c>
      <c r="O65" s="171">
        <v>16190</v>
      </c>
      <c r="P65" s="158"/>
      <c r="Q65" s="159">
        <v>14810</v>
      </c>
      <c r="R65" s="160">
        <v>15410</v>
      </c>
      <c r="S65" s="160">
        <v>15410</v>
      </c>
      <c r="T65" s="158">
        <v>16190</v>
      </c>
      <c r="U65" s="157"/>
      <c r="V65" s="98"/>
      <c r="W65" s="98"/>
      <c r="X65" s="98"/>
      <c r="Y65" s="98"/>
    </row>
    <row r="66" spans="1:25" ht="24" thickTop="1" x14ac:dyDescent="0.2">
      <c r="A66" s="161">
        <v>11.5</v>
      </c>
      <c r="B66" s="162">
        <v>14460</v>
      </c>
      <c r="C66" s="163">
        <v>15040</v>
      </c>
      <c r="D66" s="164">
        <v>15040</v>
      </c>
      <c r="E66" s="165">
        <v>15800</v>
      </c>
      <c r="F66" s="124">
        <v>5.5</v>
      </c>
      <c r="G66" s="117">
        <v>14460</v>
      </c>
      <c r="H66" s="118">
        <v>15040</v>
      </c>
      <c r="I66" s="134">
        <v>16250</v>
      </c>
      <c r="J66" s="135">
        <v>17070</v>
      </c>
      <c r="K66" s="154"/>
      <c r="L66" s="115">
        <v>14460</v>
      </c>
      <c r="M66" s="154">
        <v>15040</v>
      </c>
      <c r="N66" s="154">
        <v>15040</v>
      </c>
      <c r="O66" s="154">
        <v>15800</v>
      </c>
      <c r="P66" s="158"/>
      <c r="Q66" s="159">
        <v>14460</v>
      </c>
      <c r="R66" s="160">
        <v>15040</v>
      </c>
      <c r="S66" s="160">
        <v>15040</v>
      </c>
      <c r="T66" s="158">
        <v>15800</v>
      </c>
      <c r="U66" s="157"/>
      <c r="V66" s="98"/>
      <c r="W66" s="98"/>
      <c r="X66" s="98"/>
      <c r="Y66" s="98"/>
    </row>
    <row r="67" spans="1:25" ht="23.25" x14ac:dyDescent="0.2">
      <c r="A67" s="161">
        <v>11</v>
      </c>
      <c r="B67" s="162">
        <v>14120</v>
      </c>
      <c r="C67" s="163">
        <v>14690</v>
      </c>
      <c r="D67" s="164">
        <v>14690</v>
      </c>
      <c r="E67" s="165">
        <v>15430</v>
      </c>
      <c r="F67" s="124">
        <v>5</v>
      </c>
      <c r="G67" s="117">
        <v>14120</v>
      </c>
      <c r="H67" s="118">
        <v>14690</v>
      </c>
      <c r="I67" s="119">
        <v>15870</v>
      </c>
      <c r="J67" s="120">
        <v>16670</v>
      </c>
      <c r="K67" s="158"/>
      <c r="L67" s="159">
        <v>14120</v>
      </c>
      <c r="M67" s="158">
        <v>14690</v>
      </c>
      <c r="N67" s="158">
        <v>14690</v>
      </c>
      <c r="O67" s="158">
        <v>15430</v>
      </c>
      <c r="P67" s="158"/>
      <c r="Q67" s="159">
        <v>14120</v>
      </c>
      <c r="R67" s="160">
        <v>14690</v>
      </c>
      <c r="S67" s="160">
        <v>14690</v>
      </c>
      <c r="T67" s="158">
        <v>15430</v>
      </c>
      <c r="U67" s="157"/>
      <c r="V67" s="98"/>
      <c r="W67" s="98"/>
      <c r="X67" s="98"/>
      <c r="Y67" s="98"/>
    </row>
    <row r="68" spans="1:25" ht="23.25" x14ac:dyDescent="0.2">
      <c r="A68" s="161">
        <v>10.5</v>
      </c>
      <c r="B68" s="162">
        <v>13770</v>
      </c>
      <c r="C68" s="163">
        <v>14330</v>
      </c>
      <c r="D68" s="164">
        <v>14330</v>
      </c>
      <c r="E68" s="165">
        <v>15050</v>
      </c>
      <c r="F68" s="124">
        <v>4.5</v>
      </c>
      <c r="G68" s="117">
        <v>13770</v>
      </c>
      <c r="H68" s="118">
        <v>14330</v>
      </c>
      <c r="I68" s="119">
        <v>15480</v>
      </c>
      <c r="J68" s="120">
        <v>16260</v>
      </c>
      <c r="K68" s="158"/>
      <c r="L68" s="159">
        <v>13770</v>
      </c>
      <c r="M68" s="158">
        <v>14330</v>
      </c>
      <c r="N68" s="158">
        <v>14330</v>
      </c>
      <c r="O68" s="158">
        <v>15050</v>
      </c>
      <c r="P68" s="158"/>
      <c r="Q68" s="159">
        <v>13770</v>
      </c>
      <c r="R68" s="160">
        <v>14330</v>
      </c>
      <c r="S68" s="160">
        <v>14330</v>
      </c>
      <c r="T68" s="158">
        <v>15050</v>
      </c>
      <c r="U68" s="157"/>
      <c r="V68" s="98"/>
      <c r="W68" s="98"/>
      <c r="X68" s="98"/>
      <c r="Y68" s="98"/>
    </row>
    <row r="69" spans="1:25" ht="23.25" x14ac:dyDescent="0.2">
      <c r="A69" s="161">
        <v>10</v>
      </c>
      <c r="B69" s="162">
        <v>13420</v>
      </c>
      <c r="C69" s="163">
        <v>13960</v>
      </c>
      <c r="D69" s="164">
        <v>13960</v>
      </c>
      <c r="E69" s="165">
        <v>14660</v>
      </c>
      <c r="F69" s="124">
        <v>4</v>
      </c>
      <c r="G69" s="117">
        <v>13420</v>
      </c>
      <c r="H69" s="118">
        <v>13960</v>
      </c>
      <c r="I69" s="119">
        <v>15080</v>
      </c>
      <c r="J69" s="120">
        <v>15840</v>
      </c>
      <c r="K69" s="158"/>
      <c r="L69" s="159">
        <v>13420</v>
      </c>
      <c r="M69" s="158">
        <v>13960</v>
      </c>
      <c r="N69" s="158">
        <v>13960</v>
      </c>
      <c r="O69" s="158">
        <v>14660</v>
      </c>
      <c r="P69" s="158"/>
      <c r="Q69" s="159">
        <v>13420</v>
      </c>
      <c r="R69" s="160">
        <v>13960</v>
      </c>
      <c r="S69" s="160">
        <v>13960</v>
      </c>
      <c r="T69" s="158">
        <v>14660</v>
      </c>
      <c r="U69" s="157"/>
      <c r="V69" s="98"/>
      <c r="W69" s="98"/>
      <c r="X69" s="98"/>
      <c r="Y69" s="98"/>
    </row>
    <row r="70" spans="1:25" ht="23.25" x14ac:dyDescent="0.2">
      <c r="A70" s="161">
        <v>9.5</v>
      </c>
      <c r="B70" s="162">
        <v>13080</v>
      </c>
      <c r="C70" s="163">
        <v>13610</v>
      </c>
      <c r="D70" s="164">
        <v>13610</v>
      </c>
      <c r="E70" s="165">
        <v>14300</v>
      </c>
      <c r="F70" s="124">
        <v>3.5</v>
      </c>
      <c r="G70" s="117">
        <v>13080</v>
      </c>
      <c r="H70" s="118">
        <v>13610</v>
      </c>
      <c r="I70" s="119">
        <v>14700</v>
      </c>
      <c r="J70" s="120">
        <v>15440</v>
      </c>
      <c r="K70" s="158"/>
      <c r="L70" s="159">
        <v>13080</v>
      </c>
      <c r="M70" s="158">
        <v>13610</v>
      </c>
      <c r="N70" s="158">
        <v>13610</v>
      </c>
      <c r="O70" s="158">
        <v>14300</v>
      </c>
      <c r="P70" s="158"/>
      <c r="Q70" s="159">
        <v>13080</v>
      </c>
      <c r="R70" s="160">
        <v>13610</v>
      </c>
      <c r="S70" s="160">
        <v>13610</v>
      </c>
      <c r="T70" s="158">
        <v>14300</v>
      </c>
      <c r="U70" s="157"/>
      <c r="V70" s="98"/>
      <c r="W70" s="98"/>
      <c r="X70" s="98"/>
      <c r="Y70" s="98"/>
    </row>
    <row r="71" spans="1:25" ht="23.25" x14ac:dyDescent="0.2">
      <c r="A71" s="161">
        <v>9</v>
      </c>
      <c r="B71" s="162">
        <v>12600</v>
      </c>
      <c r="C71" s="163">
        <v>13110</v>
      </c>
      <c r="D71" s="164">
        <v>13110</v>
      </c>
      <c r="E71" s="165">
        <v>13770</v>
      </c>
      <c r="F71" s="124">
        <v>3</v>
      </c>
      <c r="G71" s="117">
        <v>12730</v>
      </c>
      <c r="H71" s="118">
        <v>13240</v>
      </c>
      <c r="I71" s="119">
        <v>14300</v>
      </c>
      <c r="J71" s="120">
        <v>15020</v>
      </c>
      <c r="K71" s="158"/>
      <c r="L71" s="159">
        <v>12730</v>
      </c>
      <c r="M71" s="158">
        <v>13240</v>
      </c>
      <c r="N71" s="158">
        <v>13240</v>
      </c>
      <c r="O71" s="158">
        <v>13910</v>
      </c>
      <c r="P71" s="158"/>
      <c r="Q71" s="159">
        <v>12730</v>
      </c>
      <c r="R71" s="160">
        <v>13240</v>
      </c>
      <c r="S71" s="160">
        <v>13240</v>
      </c>
      <c r="T71" s="158">
        <v>13910</v>
      </c>
      <c r="U71" s="157"/>
      <c r="V71" s="98"/>
      <c r="W71" s="98"/>
      <c r="X71" s="98"/>
      <c r="Y71" s="98"/>
    </row>
    <row r="72" spans="1:25" ht="23.25" x14ac:dyDescent="0.2">
      <c r="A72" s="161">
        <v>8.5</v>
      </c>
      <c r="B72" s="162">
        <v>12320</v>
      </c>
      <c r="C72" s="163">
        <v>12820</v>
      </c>
      <c r="D72" s="164">
        <v>12820</v>
      </c>
      <c r="E72" s="165">
        <v>13470</v>
      </c>
      <c r="F72" s="124">
        <v>2.5</v>
      </c>
      <c r="G72" s="117">
        <v>12380</v>
      </c>
      <c r="H72" s="118">
        <v>12880</v>
      </c>
      <c r="I72" s="119">
        <v>13920</v>
      </c>
      <c r="J72" s="120">
        <v>14620</v>
      </c>
      <c r="K72" s="158"/>
      <c r="L72" s="159">
        <v>12380</v>
      </c>
      <c r="M72" s="158">
        <v>12880</v>
      </c>
      <c r="N72" s="158">
        <v>12880</v>
      </c>
      <c r="O72" s="158">
        <v>13530</v>
      </c>
      <c r="P72" s="158"/>
      <c r="Q72" s="159">
        <v>12380</v>
      </c>
      <c r="R72" s="160">
        <v>12880</v>
      </c>
      <c r="S72" s="160">
        <v>12880</v>
      </c>
      <c r="T72" s="158">
        <v>13530</v>
      </c>
      <c r="U72" s="157"/>
      <c r="V72" s="98"/>
      <c r="W72" s="98"/>
      <c r="X72" s="98"/>
      <c r="Y72" s="98"/>
    </row>
    <row r="73" spans="1:25" ht="23.25" x14ac:dyDescent="0.2">
      <c r="A73" s="161">
        <v>8</v>
      </c>
      <c r="B73" s="162">
        <v>12040</v>
      </c>
      <c r="C73" s="163">
        <v>12530</v>
      </c>
      <c r="D73" s="164">
        <v>12530</v>
      </c>
      <c r="E73" s="165">
        <v>13160</v>
      </c>
      <c r="F73" s="124">
        <v>2</v>
      </c>
      <c r="G73" s="117">
        <v>12040</v>
      </c>
      <c r="H73" s="118">
        <v>12530</v>
      </c>
      <c r="I73" s="119">
        <v>13540</v>
      </c>
      <c r="J73" s="120">
        <v>14220</v>
      </c>
      <c r="K73" s="158"/>
      <c r="L73" s="159">
        <v>12040</v>
      </c>
      <c r="M73" s="158">
        <v>12530</v>
      </c>
      <c r="N73" s="158">
        <v>12530</v>
      </c>
      <c r="O73" s="158">
        <v>13160</v>
      </c>
      <c r="P73" s="158"/>
      <c r="Q73" s="159">
        <v>12040</v>
      </c>
      <c r="R73" s="160">
        <v>12530</v>
      </c>
      <c r="S73" s="160">
        <v>12530</v>
      </c>
      <c r="T73" s="158">
        <v>13160</v>
      </c>
      <c r="U73" s="157"/>
      <c r="V73" s="98"/>
      <c r="W73" s="98"/>
      <c r="X73" s="98"/>
      <c r="Y73" s="98"/>
    </row>
    <row r="74" spans="1:25" ht="23.25" x14ac:dyDescent="0.2">
      <c r="A74" s="161">
        <v>7.5</v>
      </c>
      <c r="B74" s="162">
        <v>11750</v>
      </c>
      <c r="C74" s="163">
        <v>12220</v>
      </c>
      <c r="D74" s="164">
        <v>12220</v>
      </c>
      <c r="E74" s="165">
        <v>12840</v>
      </c>
      <c r="F74" s="124">
        <v>1.5</v>
      </c>
      <c r="G74" s="117">
        <v>11750</v>
      </c>
      <c r="H74" s="118">
        <v>12220</v>
      </c>
      <c r="I74" s="119">
        <v>13200</v>
      </c>
      <c r="J74" s="120">
        <v>13860</v>
      </c>
      <c r="K74" s="172"/>
      <c r="L74" s="146"/>
      <c r="M74" s="146"/>
      <c r="N74" s="146"/>
      <c r="O74" s="146"/>
      <c r="P74" s="146"/>
      <c r="Q74" s="146"/>
      <c r="R74" s="146"/>
      <c r="S74" s="98"/>
      <c r="T74" s="98"/>
      <c r="U74" s="98"/>
      <c r="V74" s="98"/>
      <c r="W74" s="98"/>
      <c r="X74" s="98"/>
      <c r="Y74" s="98"/>
    </row>
    <row r="75" spans="1:25" ht="24" thickBot="1" x14ac:dyDescent="0.25">
      <c r="A75" s="161">
        <v>7</v>
      </c>
      <c r="B75" s="162">
        <v>11470</v>
      </c>
      <c r="C75" s="163">
        <v>11930</v>
      </c>
      <c r="D75" s="164">
        <v>11930</v>
      </c>
      <c r="E75" s="165">
        <v>12530</v>
      </c>
      <c r="F75" s="173">
        <v>1</v>
      </c>
      <c r="G75" s="174">
        <v>11470</v>
      </c>
      <c r="H75" s="175">
        <v>11930</v>
      </c>
      <c r="I75" s="176">
        <v>11930</v>
      </c>
      <c r="J75" s="177">
        <v>12530</v>
      </c>
      <c r="K75" s="157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</row>
    <row r="76" spans="1:25" ht="24" thickTop="1" x14ac:dyDescent="0.2">
      <c r="A76" s="161">
        <v>6.5</v>
      </c>
      <c r="B76" s="162">
        <v>11200</v>
      </c>
      <c r="C76" s="163">
        <v>11650</v>
      </c>
      <c r="D76" s="164">
        <v>11650</v>
      </c>
      <c r="E76" s="178">
        <v>12240</v>
      </c>
      <c r="F76" s="179"/>
      <c r="G76" s="180">
        <v>11200</v>
      </c>
      <c r="H76" s="179">
        <v>11650</v>
      </c>
      <c r="I76" s="179">
        <v>11650</v>
      </c>
      <c r="J76" s="179">
        <v>12240</v>
      </c>
      <c r="K76" s="157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</row>
    <row r="77" spans="1:25" ht="23.25" x14ac:dyDescent="0.2">
      <c r="A77" s="161">
        <v>6</v>
      </c>
      <c r="B77" s="162">
        <v>10910</v>
      </c>
      <c r="C77" s="163">
        <v>11350</v>
      </c>
      <c r="D77" s="164">
        <v>11350</v>
      </c>
      <c r="E77" s="178">
        <v>11920</v>
      </c>
      <c r="F77" s="154"/>
      <c r="G77" s="115">
        <v>10910</v>
      </c>
      <c r="H77" s="154">
        <v>11350</v>
      </c>
      <c r="I77" s="154">
        <v>11350</v>
      </c>
      <c r="J77" s="158">
        <v>11920</v>
      </c>
      <c r="K77" s="157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25" ht="23.25" x14ac:dyDescent="0.2">
      <c r="A78" s="161">
        <v>5.5</v>
      </c>
      <c r="B78" s="162">
        <v>10630</v>
      </c>
      <c r="C78" s="163">
        <v>11060</v>
      </c>
      <c r="D78" s="164">
        <v>11060</v>
      </c>
      <c r="E78" s="165">
        <v>11620</v>
      </c>
      <c r="F78" s="158"/>
      <c r="G78" s="159">
        <v>10630</v>
      </c>
      <c r="H78" s="158">
        <v>11060</v>
      </c>
      <c r="I78" s="158">
        <v>11060</v>
      </c>
      <c r="J78" s="158">
        <v>11620</v>
      </c>
      <c r="K78" s="157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25" ht="23.25" x14ac:dyDescent="0.2">
      <c r="A79" s="161">
        <v>5</v>
      </c>
      <c r="B79" s="162">
        <v>10250</v>
      </c>
      <c r="C79" s="163">
        <v>10660</v>
      </c>
      <c r="D79" s="164">
        <v>10660</v>
      </c>
      <c r="E79" s="165">
        <v>11200</v>
      </c>
      <c r="F79" s="158"/>
      <c r="G79" s="159">
        <v>10350</v>
      </c>
      <c r="H79" s="158">
        <v>10770</v>
      </c>
      <c r="I79" s="158">
        <v>10770</v>
      </c>
      <c r="J79" s="158">
        <v>11310</v>
      </c>
      <c r="K79" s="157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</row>
    <row r="80" spans="1:25" ht="23.25" x14ac:dyDescent="0.2">
      <c r="A80" s="161">
        <v>4.5</v>
      </c>
      <c r="B80" s="162">
        <v>10010</v>
      </c>
      <c r="C80" s="163">
        <v>10420</v>
      </c>
      <c r="D80" s="164">
        <v>10420</v>
      </c>
      <c r="E80" s="165">
        <v>10950</v>
      </c>
      <c r="F80" s="158"/>
      <c r="G80" s="159">
        <v>10060</v>
      </c>
      <c r="H80" s="158">
        <v>10470</v>
      </c>
      <c r="I80" s="158">
        <v>10470</v>
      </c>
      <c r="J80" s="158">
        <v>11000</v>
      </c>
      <c r="K80" s="157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25" ht="23.25" x14ac:dyDescent="0.2">
      <c r="A81" s="161">
        <v>4</v>
      </c>
      <c r="B81" s="162">
        <v>9790</v>
      </c>
      <c r="C81" s="163">
        <v>10190</v>
      </c>
      <c r="D81" s="164">
        <v>10190</v>
      </c>
      <c r="E81" s="165">
        <v>10700</v>
      </c>
      <c r="F81" s="158"/>
      <c r="G81" s="159">
        <v>9790</v>
      </c>
      <c r="H81" s="158">
        <v>10190</v>
      </c>
      <c r="I81" s="158">
        <v>10190</v>
      </c>
      <c r="J81" s="158">
        <v>10700</v>
      </c>
      <c r="K81" s="157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</row>
    <row r="82" spans="1:25" ht="23.25" x14ac:dyDescent="0.2">
      <c r="A82" s="161">
        <v>3.5</v>
      </c>
      <c r="B82" s="162">
        <v>9550</v>
      </c>
      <c r="C82" s="163">
        <v>9940</v>
      </c>
      <c r="D82" s="164">
        <v>9940</v>
      </c>
      <c r="E82" s="165">
        <v>10440</v>
      </c>
      <c r="F82" s="158"/>
      <c r="G82" s="159">
        <v>9550</v>
      </c>
      <c r="H82" s="158">
        <v>9940</v>
      </c>
      <c r="I82" s="158">
        <v>9940</v>
      </c>
      <c r="J82" s="158">
        <v>10440</v>
      </c>
      <c r="K82" s="157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</row>
    <row r="83" spans="1:25" ht="23.25" x14ac:dyDescent="0.2">
      <c r="A83" s="161">
        <v>3</v>
      </c>
      <c r="B83" s="162">
        <v>9320</v>
      </c>
      <c r="C83" s="163">
        <v>9700</v>
      </c>
      <c r="D83" s="164">
        <v>9700</v>
      </c>
      <c r="E83" s="165">
        <v>10190</v>
      </c>
      <c r="F83" s="158"/>
      <c r="G83" s="159">
        <v>9320</v>
      </c>
      <c r="H83" s="158">
        <v>9700</v>
      </c>
      <c r="I83" s="158">
        <v>9700</v>
      </c>
      <c r="J83" s="158">
        <v>10190</v>
      </c>
      <c r="K83" s="157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</row>
    <row r="84" spans="1:25" ht="23.25" x14ac:dyDescent="0.2">
      <c r="A84" s="161">
        <v>2.5</v>
      </c>
      <c r="B84" s="162">
        <v>9110</v>
      </c>
      <c r="C84" s="163">
        <v>9480</v>
      </c>
      <c r="D84" s="164">
        <v>9480</v>
      </c>
      <c r="E84" s="165">
        <v>9960</v>
      </c>
      <c r="F84" s="158"/>
      <c r="G84" s="159">
        <v>9110</v>
      </c>
      <c r="H84" s="158">
        <v>9480</v>
      </c>
      <c r="I84" s="158">
        <v>9480</v>
      </c>
      <c r="J84" s="158">
        <v>9960</v>
      </c>
      <c r="K84" s="157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</row>
    <row r="85" spans="1:25" ht="23.25" x14ac:dyDescent="0.2">
      <c r="A85" s="161">
        <v>2</v>
      </c>
      <c r="B85" s="162">
        <v>8870</v>
      </c>
      <c r="C85" s="163">
        <v>9230</v>
      </c>
      <c r="D85" s="164">
        <v>9230</v>
      </c>
      <c r="E85" s="165">
        <v>9700</v>
      </c>
      <c r="F85" s="158"/>
      <c r="G85" s="159">
        <v>8870</v>
      </c>
      <c r="H85" s="158">
        <v>9230</v>
      </c>
      <c r="I85" s="158">
        <v>9230</v>
      </c>
      <c r="J85" s="158">
        <v>9700</v>
      </c>
      <c r="K85" s="157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</row>
    <row r="86" spans="1:25" ht="23.25" x14ac:dyDescent="0.2">
      <c r="A86" s="161">
        <v>1.5</v>
      </c>
      <c r="B86" s="162">
        <v>8640</v>
      </c>
      <c r="C86" s="163">
        <v>8990</v>
      </c>
      <c r="D86" s="164">
        <v>8990</v>
      </c>
      <c r="E86" s="165">
        <v>9440</v>
      </c>
      <c r="F86" s="158"/>
      <c r="G86" s="159">
        <v>8640</v>
      </c>
      <c r="H86" s="158">
        <v>8990</v>
      </c>
      <c r="I86" s="158">
        <v>8990</v>
      </c>
      <c r="J86" s="158">
        <v>9440</v>
      </c>
      <c r="K86" s="157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</row>
    <row r="87" spans="1:25" ht="24" thickBot="1" x14ac:dyDescent="0.25">
      <c r="A87" s="181">
        <v>1</v>
      </c>
      <c r="B87" s="182">
        <v>8360</v>
      </c>
      <c r="C87" s="183">
        <v>8700</v>
      </c>
      <c r="D87" s="184">
        <v>8700</v>
      </c>
      <c r="E87" s="185">
        <v>9140</v>
      </c>
      <c r="F87" s="158"/>
      <c r="G87" s="159">
        <v>8430</v>
      </c>
      <c r="H87" s="158">
        <v>8770</v>
      </c>
      <c r="I87" s="158">
        <v>8770</v>
      </c>
      <c r="J87" s="158">
        <v>9210</v>
      </c>
      <c r="K87" s="157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</row>
    <row r="88" spans="1:25" ht="24" thickTop="1" x14ac:dyDescent="0.2">
      <c r="A88" s="186"/>
      <c r="B88" s="115">
        <v>8170</v>
      </c>
      <c r="C88" s="154">
        <v>8500</v>
      </c>
      <c r="D88" s="154">
        <v>8500</v>
      </c>
      <c r="E88" s="154">
        <v>8930</v>
      </c>
      <c r="F88" s="158"/>
      <c r="G88" s="159">
        <v>8210</v>
      </c>
      <c r="H88" s="158">
        <v>8540</v>
      </c>
      <c r="I88" s="158">
        <v>8540</v>
      </c>
      <c r="J88" s="158">
        <v>8970</v>
      </c>
      <c r="K88" s="157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106"/>
      <c r="W88" s="106"/>
      <c r="X88" s="98"/>
      <c r="Y88" s="98"/>
    </row>
    <row r="89" spans="1:25" ht="23.25" x14ac:dyDescent="0.2">
      <c r="A89" s="187"/>
      <c r="B89" s="159">
        <v>8000</v>
      </c>
      <c r="C89" s="158">
        <v>8320</v>
      </c>
      <c r="D89" s="158">
        <v>8320</v>
      </c>
      <c r="E89" s="158">
        <v>8740</v>
      </c>
      <c r="F89" s="158"/>
      <c r="G89" s="159">
        <v>8000</v>
      </c>
      <c r="H89" s="158">
        <v>8320</v>
      </c>
      <c r="I89" s="158">
        <v>8320</v>
      </c>
      <c r="J89" s="158">
        <v>8740</v>
      </c>
      <c r="K89" s="157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106"/>
      <c r="W89" s="106"/>
      <c r="X89" s="98"/>
      <c r="Y89" s="98"/>
    </row>
    <row r="90" spans="1:25" ht="23.25" x14ac:dyDescent="0.2">
      <c r="A90" s="187"/>
      <c r="B90" s="159">
        <v>7810</v>
      </c>
      <c r="C90" s="158">
        <v>8130</v>
      </c>
      <c r="D90" s="158">
        <v>8130</v>
      </c>
      <c r="E90" s="158">
        <v>8540</v>
      </c>
      <c r="F90" s="158"/>
      <c r="G90" s="159">
        <v>7810</v>
      </c>
      <c r="H90" s="158">
        <v>8130</v>
      </c>
      <c r="I90" s="158">
        <v>8130</v>
      </c>
      <c r="J90" s="158">
        <v>8540</v>
      </c>
      <c r="K90" s="157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106"/>
      <c r="W90" s="106"/>
      <c r="X90" s="98"/>
      <c r="Y90" s="98"/>
    </row>
    <row r="91" spans="1:25" ht="23.25" x14ac:dyDescent="0.2">
      <c r="A91" s="187"/>
      <c r="B91" s="159">
        <v>7630</v>
      </c>
      <c r="C91" s="158">
        <v>7940</v>
      </c>
      <c r="D91" s="158">
        <v>7940</v>
      </c>
      <c r="E91" s="158">
        <v>8340</v>
      </c>
      <c r="F91" s="158"/>
      <c r="G91" s="159">
        <v>7630</v>
      </c>
      <c r="H91" s="158">
        <v>7940</v>
      </c>
      <c r="I91" s="154"/>
      <c r="J91" s="154"/>
      <c r="K91" s="15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06"/>
      <c r="W91" s="106"/>
      <c r="X91" s="114"/>
      <c r="Y91" s="114"/>
    </row>
    <row r="92" spans="1:25" ht="23.25" x14ac:dyDescent="0.2">
      <c r="A92" s="473" t="s">
        <v>8</v>
      </c>
      <c r="B92" s="474" t="s">
        <v>85</v>
      </c>
      <c r="C92" s="475"/>
      <c r="D92" s="475"/>
      <c r="E92" s="476"/>
      <c r="F92" s="469" t="s">
        <v>8</v>
      </c>
      <c r="G92" s="470" t="s">
        <v>86</v>
      </c>
      <c r="H92" s="471"/>
      <c r="I92" s="471"/>
      <c r="J92" s="472"/>
      <c r="K92" s="469" t="s">
        <v>8</v>
      </c>
      <c r="L92" s="474" t="s">
        <v>87</v>
      </c>
      <c r="M92" s="475"/>
      <c r="N92" s="475"/>
      <c r="O92" s="476"/>
      <c r="P92" s="469" t="s">
        <v>8</v>
      </c>
      <c r="Q92" s="470" t="s">
        <v>88</v>
      </c>
      <c r="R92" s="471"/>
      <c r="S92" s="471"/>
      <c r="T92" s="472"/>
      <c r="U92" s="469" t="s">
        <v>8</v>
      </c>
      <c r="V92" s="470" t="s">
        <v>89</v>
      </c>
      <c r="W92" s="471"/>
      <c r="X92" s="471"/>
      <c r="Y92" s="472"/>
    </row>
    <row r="93" spans="1:25" ht="23.25" x14ac:dyDescent="0.2">
      <c r="A93" s="473"/>
      <c r="B93" s="87" t="s">
        <v>90</v>
      </c>
      <c r="C93" s="87" t="s">
        <v>91</v>
      </c>
      <c r="D93" s="87" t="s">
        <v>25</v>
      </c>
      <c r="E93" s="87" t="s">
        <v>92</v>
      </c>
      <c r="F93" s="469"/>
      <c r="G93" s="87" t="s">
        <v>90</v>
      </c>
      <c r="H93" s="87" t="s">
        <v>91</v>
      </c>
      <c r="I93" s="87" t="s">
        <v>25</v>
      </c>
      <c r="J93" s="87" t="s">
        <v>92</v>
      </c>
      <c r="K93" s="469"/>
      <c r="L93" s="87" t="s">
        <v>90</v>
      </c>
      <c r="M93" s="87" t="s">
        <v>91</v>
      </c>
      <c r="N93" s="87" t="s">
        <v>25</v>
      </c>
      <c r="O93" s="87" t="s">
        <v>92</v>
      </c>
      <c r="P93" s="469"/>
      <c r="Q93" s="87" t="s">
        <v>90</v>
      </c>
      <c r="R93" s="87" t="s">
        <v>91</v>
      </c>
      <c r="S93" s="87" t="s">
        <v>25</v>
      </c>
      <c r="T93" s="87" t="s">
        <v>92</v>
      </c>
      <c r="U93" s="469"/>
      <c r="V93" s="88" t="s">
        <v>90</v>
      </c>
      <c r="W93" s="87" t="s">
        <v>91</v>
      </c>
      <c r="X93" s="87" t="s">
        <v>25</v>
      </c>
      <c r="Y93" s="87" t="s">
        <v>92</v>
      </c>
    </row>
  </sheetData>
  <mergeCells count="20">
    <mergeCell ref="P3:P4"/>
    <mergeCell ref="Q3:T3"/>
    <mergeCell ref="U3:U4"/>
    <mergeCell ref="V3:Y3"/>
    <mergeCell ref="A3:A4"/>
    <mergeCell ref="B3:E3"/>
    <mergeCell ref="F3:F4"/>
    <mergeCell ref="G3:J3"/>
    <mergeCell ref="K3:K4"/>
    <mergeCell ref="L3:O3"/>
    <mergeCell ref="P92:P93"/>
    <mergeCell ref="Q92:T92"/>
    <mergeCell ref="U92:U93"/>
    <mergeCell ref="V92:Y92"/>
    <mergeCell ref="A92:A93"/>
    <mergeCell ref="B92:E92"/>
    <mergeCell ref="F92:F93"/>
    <mergeCell ref="G92:J92"/>
    <mergeCell ref="K92:K93"/>
    <mergeCell ref="L92:O92"/>
  </mergeCells>
  <printOptions horizontalCentered="1"/>
  <pageMargins left="0.2" right="0.2" top="0.5" bottom="0.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คู่มือจัด จ.18</vt:lpstr>
      <vt:lpstr>บัญชีหมายเลข1(ปี2558)</vt:lpstr>
      <vt:lpstr>บัญชีหมายเลข2(ปี2558)</vt:lpstr>
      <vt:lpstr>บัญชีหมายเลข3(ปี2558)</vt:lpstr>
      <vt:lpstr>บัญชีหมายเลข4(ปี2558)</vt:lpstr>
      <vt:lpstr>dropdown</vt:lpstr>
      <vt:lpstr>ตารางเทียบเงินเดือน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2016-05-24T04:44:48Z</cp:lastPrinted>
  <dcterms:created xsi:type="dcterms:W3CDTF">2012-09-28T03:19:31Z</dcterms:created>
  <dcterms:modified xsi:type="dcterms:W3CDTF">2016-06-16T04:08:59Z</dcterms:modified>
</cp:coreProperties>
</file>